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700 Engineering\0770 DOCUMENTS\Excel Files\"/>
    </mc:Choice>
  </mc:AlternateContent>
  <bookViews>
    <workbookView xWindow="0" yWindow="0" windowWidth="21570" windowHeight="9405"/>
  </bookViews>
  <sheets>
    <sheet name="Parameters" sheetId="4" r:id="rId1"/>
    <sheet name="Belt_Data" sheetId="1" r:id="rId2"/>
    <sheet name="Sprocket_Data" sheetId="3" r:id="rId3"/>
    <sheet name="SPR_CW_RW" sheetId="2" r:id="rId4"/>
  </sheets>
  <externalReferences>
    <externalReference r:id="rId5"/>
    <externalReference r:id="rId6"/>
  </externalReferences>
  <definedNames>
    <definedName name="B_100">Belt_Data!$C$4:$N$5</definedName>
    <definedName name="B_1000">Belt_Data!$C$67:$N$72</definedName>
    <definedName name="B_10000">Belt_Data!$C$126:$N$128</definedName>
    <definedName name="B_1100">Belt_Data!$C$73:$N$81</definedName>
    <definedName name="B_1200">Belt_Data!$C$82:$N$86</definedName>
    <definedName name="B_1400">Belt_Data!$C$87:$N$101</definedName>
    <definedName name="B_1500">Belt_Data!$C$102:$N$103</definedName>
    <definedName name="B_1600">Belt_Data!$C$104:$N$110</definedName>
    <definedName name="B_1650">Belt_Data!$C$111:$N$111</definedName>
    <definedName name="B_1700">Belt_Data!$C$112:$N$114</definedName>
    <definedName name="B_1800">Belt_Data!$C$116:$N$117</definedName>
    <definedName name="B_1900">Belt_Data!$C$118:$N$118</definedName>
    <definedName name="B_200">Belt_Data!$C$6:$N$8</definedName>
    <definedName name="B_2100">Belt_Data!$C$129:$N$129</definedName>
    <definedName name="B_2200">Belt_Data!$C$130:$N$135</definedName>
    <definedName name="B_2300">Belt_Data!$C$136:$N$137</definedName>
    <definedName name="B_2400">Belt_Data!$C$138:$N$149</definedName>
    <definedName name="B_400">Belt_Data!$C$9:$N$23</definedName>
    <definedName name="B_4400">Belt_Data!$C$119:$N$119</definedName>
    <definedName name="B_4500">Belt_Data!$C$120:$N$120</definedName>
    <definedName name="B_550">Belt_Data!$C$24:$N$24</definedName>
    <definedName name="B_800">Belt_Data!$C$25:$N$42</definedName>
    <definedName name="B_850">Belt_Data!$C$43:$N$45</definedName>
    <definedName name="B_880">Belt_Data!$C$46:$N$49</definedName>
    <definedName name="B_900">Belt_Data!$C$50:$N$66</definedName>
    <definedName name="B_9000">Belt_Data!$C$125:$N$125</definedName>
    <definedName name="B_Style">Belt_Data!$P$4:$P$86</definedName>
    <definedName name="Belt_100">Belt_Data!$C$4:$L$5</definedName>
    <definedName name="Belt_1000">Belt_Data!$C$67:$L$72</definedName>
    <definedName name="Belt_10000">Belt_Data!$C$126:$L$128</definedName>
    <definedName name="Belt_1100">Belt_Data!$C$73:$L$81</definedName>
    <definedName name="Belt_1200">Belt_Data!$C$82:$L$86</definedName>
    <definedName name="Belt_1400">Belt_Data!$C$87:$L$101</definedName>
    <definedName name="Belt_1500">Belt_Data!$C$102:$L$103</definedName>
    <definedName name="Belt_1600">Belt_Data!$C$104:$L$110</definedName>
    <definedName name="Belt_1650">Belt_Data!$C$111:$L$111</definedName>
    <definedName name="Belt_1700">Belt_Data!$C$112:$L$114</definedName>
    <definedName name="Belt_1800">Belt_Data!$C$116:$L$117</definedName>
    <definedName name="Belt_1900">Belt_Data!$C$118:$L$118</definedName>
    <definedName name="Belt_200">Belt_Data!$C$6:$L$8</definedName>
    <definedName name="Belt_2100">Belt_Data!$C$129:$L$129</definedName>
    <definedName name="Belt_2200">Belt_Data!$C$130:$L$135</definedName>
    <definedName name="Belt_2300">Belt_Data!$C$136:$L$137</definedName>
    <definedName name="Belt_2400">Belt_Data!$C$138:$L$149</definedName>
    <definedName name="Belt_3000">Belt_Data!#REF!</definedName>
    <definedName name="Belt_400">Belt_Data!$C$9:$L$23</definedName>
    <definedName name="Belt_4400">Belt_Data!$C$119:$L$119</definedName>
    <definedName name="Belt_4500">Belt_Data!$C$120:$L$120</definedName>
    <definedName name="Belt_550">Belt_Data!$C$24:$L$24</definedName>
    <definedName name="Belt_800">Belt_Data!$C$25:$L$42</definedName>
    <definedName name="Belt_850">Belt_Data!$C$43:$L$45</definedName>
    <definedName name="Belt_880">Belt_Data!$C$46:$L$49</definedName>
    <definedName name="Belt_900">Belt_Data!$C$50:$L$66</definedName>
    <definedName name="Belt_9000">Belt_Data!$C$125:$L$125</definedName>
    <definedName name="Belt_Color">Belt_Data!$U$4:$U$9</definedName>
    <definedName name="Belt_Material">Belt_Data!$S$4:$S$24</definedName>
    <definedName name="Belt_Series">Belt_Data!$B$19:$B$149</definedName>
    <definedName name="BS_100">Belt_Data!$C$4:$C$5</definedName>
    <definedName name="BS_1000">Belt_Data!$C$67:$C$72</definedName>
    <definedName name="BS_10000">Belt_Data!$C$126:$C$128</definedName>
    <definedName name="BS_1100">Belt_Data!$C$73:$C$81</definedName>
    <definedName name="BS_1200">Belt_Data!$C$82:$C$86</definedName>
    <definedName name="BS_1400">Belt_Data!$C$87:$C$101</definedName>
    <definedName name="BS_1500">Belt_Data!$C$102:$C$103</definedName>
    <definedName name="BS_1600">Belt_Data!$C$104:$C$110</definedName>
    <definedName name="BS_1650">Belt_Data!$C$111</definedName>
    <definedName name="BS_1700">Belt_Data!$C$112:$C$114</definedName>
    <definedName name="BS_1750">Belt_Data!$C$115</definedName>
    <definedName name="BS_1800">Belt_Data!$C$116:$C$117</definedName>
    <definedName name="BS_1900">Belt_Data!$C$118</definedName>
    <definedName name="BS_200">Belt_Data!$C$6:$C$8</definedName>
    <definedName name="BS_2100">Belt_Data!$C$129</definedName>
    <definedName name="BS_2200">Belt_Data!$C$130:$C$135</definedName>
    <definedName name="BS_2300">Belt_Data!$C$136:$C$137</definedName>
    <definedName name="BS_2400">Belt_Data!$C$138:$C$149</definedName>
    <definedName name="BS_3000">Belt_Data!#REF!</definedName>
    <definedName name="BS_400">Belt_Data!$C$9:$C$23</definedName>
    <definedName name="BS_4400">Belt_Data!$C$119</definedName>
    <definedName name="BS_4500">Belt_Data!$C$120</definedName>
    <definedName name="BS_550">Belt_Data!$C$24</definedName>
    <definedName name="BS_800">Belt_Data!$C$25:$C$42</definedName>
    <definedName name="BS_850">Belt_Data!$C$43:$C$45</definedName>
    <definedName name="BS_880">Belt_Data!$C$46:$C$49</definedName>
    <definedName name="BS_900">Belt_Data!$C$50:$C$66</definedName>
    <definedName name="BS_9000">Belt_Data!$C$125</definedName>
    <definedName name="BSeries">Belt_Data!#REF!</definedName>
    <definedName name="BStyle_Name">Belt_Data!$Q$4:$Q$86</definedName>
    <definedName name="Conveyor_Type">'[1]CONVEYOR REFERENCE'!$A$2:$A$11</definedName>
    <definedName name="EndType">'[2]CONVEYOR REFERENCE'!$B$14:$B$15</definedName>
    <definedName name="LEG_SIZE">'[2]CONVEYOR REFERENCE'!$AB$24:$AB$25</definedName>
    <definedName name="LEG_STYLE">'[2]CONVEYOR REFERENCE'!$AA$24:$AA$25</definedName>
    <definedName name="LEG_TYPE">'[2]CONVEYOR REFERENCE'!$Z$24:$Z$25</definedName>
    <definedName name="Min_Width">Belt_Data!$M:$M</definedName>
    <definedName name="MOTOR_RPM">'[2]CONVEYOR REFERENCE'!$AA$3:$AA$5</definedName>
    <definedName name="NORD_RATIOS">'[2]CONVEYOR REFERENCE'!$Y$7:$Y$19</definedName>
    <definedName name="Pin_Btm">Belt_Data!$J:$J</definedName>
    <definedName name="Pitch">Belt_Data!$D:$D</definedName>
    <definedName name="_xlnm.Print_Area" localSheetId="1">Belt_Data!$A$1:$L$146</definedName>
    <definedName name="_xlnm.Print_Titles" localSheetId="1">Belt_Data!$1:$3</definedName>
    <definedName name="SM">'[2]CONVEYOR REFERENCE'!$A$20:$C$26</definedName>
    <definedName name="SP_100">Sprocket_Data!$B$2:$B$4</definedName>
    <definedName name="SP_1000">Sprocket_Data!$B$35:$B$37</definedName>
    <definedName name="SP_10000">Sprocket_Data!$B$101:$B$104</definedName>
    <definedName name="SP_1100">Sprocket_Data!$B$38:$B$45</definedName>
    <definedName name="SP_1200">Sprocket_Data!$B$46:$B$49</definedName>
    <definedName name="SP_1400">Sprocket_Data!$B$50:$B$56</definedName>
    <definedName name="SP_1600">Sprocket_Data!$B$64:$B$68</definedName>
    <definedName name="SP_1650">Sprocket_Data!$B$69:$B$73</definedName>
    <definedName name="SP_1700">Sprocket_Data!$B$74:$B$77</definedName>
    <definedName name="SP_1750">Sprocket_Data!$B$78:$B$80</definedName>
    <definedName name="SP_1800">Sprocket_Data!$B$81:$B$84</definedName>
    <definedName name="SP_1900">Sprocket_Data!$B$85:$B$87</definedName>
    <definedName name="SP_200">Sprocket_Data!$B$5:$B$7</definedName>
    <definedName name="SP_2200">Sprocket_Data!$B$105:$B$108</definedName>
    <definedName name="SP_2300">Sprocket_Data!$B$109:$B$112</definedName>
    <definedName name="SP_2400">Sprocket_Data!$B$113:$B$117</definedName>
    <definedName name="SP_400">Sprocket_Data!$B$8:$B$12</definedName>
    <definedName name="sp_4400">Sprocket_Data!$B$88:$B$92</definedName>
    <definedName name="SP_4500">Sprocket_Data!$B$93:$B$95</definedName>
    <definedName name="SP_5">'[2]CONVEYOR REFERENCE'!#REF!</definedName>
    <definedName name="SP_550">Sprocket_Data!$B$13:$B$14</definedName>
    <definedName name="SP_6.1">'[2]CONVEYOR REFERENCE'!#REF!</definedName>
    <definedName name="SP_8">'[2]CONVEYOR REFERENCE'!#REF!</definedName>
    <definedName name="SP_800">Sprocket_Data!$B$15:$B$19</definedName>
    <definedName name="SP_850">Sprocket_Data!$B$20:$B$24</definedName>
    <definedName name="SP_888">Sprocket_Data!$B$25:$B$26</definedName>
    <definedName name="SP_900">Sprocket_Data!$B$27:$B$34</definedName>
    <definedName name="SP_9000">Sprocket_Data!$B$96:$B$100</definedName>
    <definedName name="SPR_100">Sprocket_Data!$B$2:$D$4</definedName>
    <definedName name="SPR_1000">Sprocket_Data!$B$35:$D$37</definedName>
    <definedName name="SPR_10000">Sprocket_Data!$B$101:$D$104</definedName>
    <definedName name="SPR_1100">Sprocket_Data!$B$38:$D$45</definedName>
    <definedName name="SPR_1200">Sprocket_Data!$B$46:$D$49</definedName>
    <definedName name="SPR_1400">Sprocket_Data!$B$50:$D$56</definedName>
    <definedName name="SPR_1600">Sprocket_Data!$B$64:$D$68</definedName>
    <definedName name="SPR_1650">Sprocket_Data!$B$69:$D$73</definedName>
    <definedName name="SPR_1700">Sprocket_Data!$B$74:$D$77</definedName>
    <definedName name="SPR_1750">Sprocket_Data!$B$78:$D$80</definedName>
    <definedName name="SPR_1800">Sprocket_Data!$B$81:$D$84</definedName>
    <definedName name="SPR_1900">Sprocket_Data!$B$85:$D$87</definedName>
    <definedName name="SPR_200">Sprocket_Data!$B$5:$D$7</definedName>
    <definedName name="SPR_2200">Sprocket_Data!$B$105:$D$108</definedName>
    <definedName name="SPR_2300">Sprocket_Data!$B$109:$D$112</definedName>
    <definedName name="SPR_2400">Sprocket_Data!$B$113:$D$117</definedName>
    <definedName name="SPR_400">Sprocket_Data!$B$8:$D$12</definedName>
    <definedName name="SPR_4400">Sprocket_Data!$B$88:$D$92</definedName>
    <definedName name="SPR_4500">Sprocket_Data!$B$93:$D$95</definedName>
    <definedName name="SPR_5">'[2]CONVEYOR REFERENCE'!#REF!</definedName>
    <definedName name="SPR_550">Sprocket_Data!$B$13:$D$14</definedName>
    <definedName name="SPR_6.1">'[2]CONVEYOR REFERENCE'!#REF!</definedName>
    <definedName name="SPR_8">'[2]CONVEYOR REFERENCE'!#REF!</definedName>
    <definedName name="SPR_800">Sprocket_Data!$B$15:$D$19</definedName>
    <definedName name="SPR_850">Sprocket_Data!$B$20:$D$24</definedName>
    <definedName name="SPR_888">Sprocket_Data!$B$25:$D$26</definedName>
    <definedName name="SPR_900">Sprocket_Data!$B$27:$D$34</definedName>
    <definedName name="SPR_9000">Sprocket_Data!$B$96:$D$100</definedName>
    <definedName name="Style">Belt_Data!$C$49:$C$149</definedName>
    <definedName name="Style_Name">Belt_Data!$P$4:$Q$86</definedName>
    <definedName name="Thk">Belt_Data!$H:$H</definedName>
    <definedName name="Width_Incr">Belt_Data!$N:$N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7" i="3" l="1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78" i="3"/>
  <c r="D80" i="3"/>
  <c r="D79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F8" i="4"/>
  <c r="F4" i="4"/>
  <c r="F9" i="4"/>
  <c r="F18" i="4"/>
  <c r="F5" i="4"/>
  <c r="F19" i="4"/>
  <c r="F6" i="4"/>
  <c r="J123" i="1" l="1"/>
  <c r="F124" i="1"/>
  <c r="G124" i="1" s="1"/>
  <c r="I124" i="1"/>
  <c r="J124" i="1" s="1"/>
  <c r="H121" i="1"/>
  <c r="E121" i="1"/>
  <c r="G123" i="1" l="1"/>
  <c r="J149" i="1"/>
  <c r="G149" i="1"/>
  <c r="J148" i="1"/>
  <c r="G148" i="1"/>
  <c r="J147" i="1"/>
  <c r="G147" i="1"/>
  <c r="J146" i="1"/>
  <c r="G146" i="1"/>
  <c r="J145" i="1"/>
  <c r="G145" i="1"/>
  <c r="J144" i="1"/>
  <c r="G144" i="1"/>
  <c r="J143" i="1"/>
  <c r="G143" i="1"/>
  <c r="J142" i="1"/>
  <c r="G142" i="1"/>
  <c r="J141" i="1"/>
  <c r="G141" i="1"/>
  <c r="J140" i="1"/>
  <c r="G140" i="1"/>
  <c r="J139" i="1"/>
  <c r="G139" i="1"/>
  <c r="J138" i="1"/>
  <c r="G138" i="1"/>
  <c r="J137" i="1"/>
  <c r="G137" i="1"/>
  <c r="J136" i="1"/>
  <c r="G136" i="1"/>
  <c r="J135" i="1"/>
  <c r="G135" i="1"/>
  <c r="J134" i="1"/>
  <c r="G134" i="1"/>
  <c r="J133" i="1"/>
  <c r="G133" i="1"/>
  <c r="J132" i="1"/>
  <c r="G132" i="1"/>
  <c r="J131" i="1"/>
  <c r="G131" i="1"/>
  <c r="J130" i="1"/>
  <c r="G130" i="1"/>
  <c r="J129" i="1"/>
  <c r="G129" i="1"/>
  <c r="J128" i="1"/>
  <c r="G128" i="1"/>
  <c r="J127" i="1"/>
  <c r="G127" i="1"/>
  <c r="J126" i="1"/>
  <c r="G126" i="1"/>
  <c r="J125" i="1"/>
  <c r="G125" i="1"/>
  <c r="J120" i="1"/>
  <c r="G120" i="1"/>
  <c r="J119" i="1"/>
  <c r="G119" i="1"/>
  <c r="J118" i="1"/>
  <c r="G118" i="1"/>
  <c r="J117" i="1"/>
  <c r="G117" i="1"/>
  <c r="J116" i="1"/>
  <c r="G116" i="1"/>
  <c r="J114" i="1"/>
  <c r="G114" i="1"/>
  <c r="J113" i="1"/>
  <c r="G113" i="1"/>
  <c r="J112" i="1"/>
  <c r="G112" i="1"/>
  <c r="J111" i="1"/>
  <c r="G111" i="1"/>
  <c r="J110" i="1"/>
  <c r="G110" i="1"/>
  <c r="J109" i="1"/>
  <c r="G109" i="1"/>
  <c r="J108" i="1"/>
  <c r="G108" i="1"/>
  <c r="J107" i="1"/>
  <c r="G107" i="1"/>
  <c r="J106" i="1"/>
  <c r="G106" i="1"/>
  <c r="J105" i="1"/>
  <c r="G105" i="1"/>
  <c r="J104" i="1"/>
  <c r="G104" i="1"/>
  <c r="J103" i="1"/>
  <c r="G103" i="1"/>
  <c r="J102" i="1"/>
  <c r="G102" i="1"/>
  <c r="J101" i="1"/>
  <c r="G101" i="1"/>
  <c r="J100" i="1"/>
  <c r="G100" i="1"/>
  <c r="J99" i="1"/>
  <c r="G99" i="1"/>
  <c r="J98" i="1"/>
  <c r="G98" i="1"/>
  <c r="J97" i="1"/>
  <c r="G97" i="1"/>
  <c r="J96" i="1"/>
  <c r="G96" i="1"/>
  <c r="J95" i="1"/>
  <c r="G95" i="1"/>
  <c r="J94" i="1"/>
  <c r="G94" i="1"/>
  <c r="J93" i="1"/>
  <c r="G93" i="1"/>
  <c r="J92" i="1"/>
  <c r="G92" i="1"/>
  <c r="J91" i="1"/>
  <c r="G91" i="1"/>
  <c r="J90" i="1"/>
  <c r="G90" i="1"/>
  <c r="J89" i="1"/>
  <c r="G89" i="1"/>
  <c r="J88" i="1"/>
  <c r="G88" i="1"/>
  <c r="J87" i="1"/>
  <c r="G87" i="1"/>
  <c r="J86" i="1"/>
  <c r="G86" i="1"/>
  <c r="J85" i="1"/>
  <c r="G85" i="1"/>
  <c r="J84" i="1"/>
  <c r="G84" i="1"/>
  <c r="J83" i="1"/>
  <c r="G83" i="1"/>
  <c r="J82" i="1"/>
  <c r="G82" i="1"/>
  <c r="J81" i="1"/>
  <c r="G81" i="1"/>
  <c r="H80" i="1"/>
  <c r="J80" i="1" s="1"/>
  <c r="F80" i="1"/>
  <c r="G80" i="1" s="1"/>
  <c r="J79" i="1"/>
  <c r="G79" i="1"/>
  <c r="H78" i="1"/>
  <c r="J78" i="1" s="1"/>
  <c r="F78" i="1"/>
  <c r="G78" i="1" s="1"/>
  <c r="H77" i="1"/>
  <c r="J77" i="1" s="1"/>
  <c r="F77" i="1"/>
  <c r="G77" i="1" s="1"/>
  <c r="H76" i="1"/>
  <c r="J76" i="1" s="1"/>
  <c r="F76" i="1"/>
  <c r="G76" i="1" s="1"/>
  <c r="J75" i="1"/>
  <c r="G75" i="1"/>
  <c r="J74" i="1"/>
  <c r="G74" i="1"/>
  <c r="J73" i="1"/>
  <c r="G73" i="1"/>
  <c r="I72" i="1"/>
  <c r="J72" i="1" s="1"/>
  <c r="G72" i="1"/>
  <c r="J71" i="1"/>
  <c r="G71" i="1"/>
  <c r="I70" i="1"/>
  <c r="H70" i="1"/>
  <c r="G70" i="1"/>
  <c r="J69" i="1"/>
  <c r="G69" i="1"/>
  <c r="J68" i="1"/>
  <c r="G68" i="1"/>
  <c r="J67" i="1"/>
  <c r="G67" i="1"/>
  <c r="J66" i="1"/>
  <c r="F66" i="1"/>
  <c r="E66" i="1"/>
  <c r="J65" i="1"/>
  <c r="E65" i="1"/>
  <c r="G65" i="1" s="1"/>
  <c r="J64" i="1"/>
  <c r="G64" i="1"/>
  <c r="J63" i="1"/>
  <c r="F63" i="1"/>
  <c r="E63" i="1"/>
  <c r="J62" i="1"/>
  <c r="E62" i="1"/>
  <c r="G62" i="1" s="1"/>
  <c r="J61" i="1"/>
  <c r="E61" i="1"/>
  <c r="G61" i="1" s="1"/>
  <c r="J60" i="1"/>
  <c r="G60" i="1"/>
  <c r="J59" i="1"/>
  <c r="G59" i="1"/>
  <c r="J58" i="1"/>
  <c r="G58" i="1"/>
  <c r="J57" i="1"/>
  <c r="G57" i="1"/>
  <c r="J56" i="1"/>
  <c r="G56" i="1"/>
  <c r="J55" i="1"/>
  <c r="G55" i="1"/>
  <c r="J54" i="1"/>
  <c r="G54" i="1"/>
  <c r="J53" i="1"/>
  <c r="G53" i="1"/>
  <c r="J52" i="1"/>
  <c r="G52" i="1"/>
  <c r="J51" i="1"/>
  <c r="G51" i="1"/>
  <c r="J50" i="1"/>
  <c r="G50" i="1"/>
  <c r="J49" i="1"/>
  <c r="G49" i="1"/>
  <c r="J48" i="1"/>
  <c r="G48" i="1"/>
  <c r="J47" i="1"/>
  <c r="G47" i="1"/>
  <c r="J46" i="1"/>
  <c r="G46" i="1"/>
  <c r="J45" i="1"/>
  <c r="G45" i="1"/>
  <c r="J44" i="1"/>
  <c r="G44" i="1"/>
  <c r="J43" i="1"/>
  <c r="G43" i="1"/>
  <c r="H42" i="1"/>
  <c r="J42" i="1" s="1"/>
  <c r="G42" i="1"/>
  <c r="J41" i="1"/>
  <c r="G41" i="1"/>
  <c r="J40" i="1"/>
  <c r="G40" i="1"/>
  <c r="J39" i="1"/>
  <c r="G39" i="1"/>
  <c r="J38" i="1"/>
  <c r="G38" i="1"/>
  <c r="J37" i="1"/>
  <c r="G37" i="1"/>
  <c r="J36" i="1"/>
  <c r="G36" i="1"/>
  <c r="J35" i="1"/>
  <c r="G35" i="1"/>
  <c r="J34" i="1"/>
  <c r="G34" i="1"/>
  <c r="J33" i="1"/>
  <c r="G33" i="1"/>
  <c r="J32" i="1"/>
  <c r="G32" i="1"/>
  <c r="J31" i="1"/>
  <c r="G31" i="1"/>
  <c r="J30" i="1"/>
  <c r="G30" i="1"/>
  <c r="J29" i="1"/>
  <c r="G29" i="1"/>
  <c r="J28" i="1"/>
  <c r="G28" i="1"/>
  <c r="J27" i="1"/>
  <c r="G27" i="1"/>
  <c r="J26" i="1"/>
  <c r="G26" i="1"/>
  <c r="J25" i="1"/>
  <c r="G25" i="1"/>
  <c r="J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J12" i="1"/>
  <c r="G12" i="1"/>
  <c r="J11" i="1"/>
  <c r="G11" i="1"/>
  <c r="J10" i="1"/>
  <c r="G10" i="1"/>
  <c r="J9" i="1"/>
  <c r="G9" i="1"/>
  <c r="J8" i="1"/>
  <c r="G8" i="1"/>
  <c r="J7" i="1"/>
  <c r="G7" i="1"/>
  <c r="J6" i="1"/>
  <c r="G6" i="1"/>
  <c r="J5" i="1"/>
  <c r="G5" i="1"/>
  <c r="I4" i="1"/>
  <c r="J4" i="1" s="1"/>
  <c r="G4" i="1"/>
  <c r="F7" i="4"/>
  <c r="J20" i="1" l="1"/>
  <c r="J15" i="1"/>
  <c r="J23" i="1"/>
  <c r="G66" i="1"/>
  <c r="J14" i="1"/>
  <c r="J22" i="1"/>
  <c r="J18" i="1"/>
  <c r="G63" i="1"/>
  <c r="J16" i="1"/>
  <c r="J70" i="1"/>
  <c r="J19" i="1"/>
  <c r="J17" i="1"/>
  <c r="J13" i="1"/>
  <c r="J21" i="1"/>
</calcChain>
</file>

<file path=xl/sharedStrings.xml><?xml version="1.0" encoding="utf-8"?>
<sst xmlns="http://schemas.openxmlformats.org/spreadsheetml/2006/main" count="809" uniqueCount="288">
  <si>
    <t>BELT DATA</t>
  </si>
  <si>
    <t>BASIC DATA</t>
  </si>
  <si>
    <t>NOMINAL DATA</t>
  </si>
  <si>
    <t>STYLE SPECIFIC</t>
  </si>
  <si>
    <t>BELT STYLE NOMENCLATURE</t>
  </si>
  <si>
    <t>TYPE</t>
  </si>
  <si>
    <t>SERIES</t>
  </si>
  <si>
    <t>STYLE</t>
  </si>
  <si>
    <t>NOM THK</t>
  </si>
  <si>
    <t>NOM PIN-TOP</t>
  </si>
  <si>
    <t>NOM PIN - BASE</t>
  </si>
  <si>
    <t>THK</t>
  </si>
  <si>
    <t>PIN-TOP</t>
  </si>
  <si>
    <t>PIN-BTM</t>
  </si>
  <si>
    <t>ROLLER Ø</t>
  </si>
  <si>
    <t>ROLLER WIDTH</t>
  </si>
  <si>
    <t>BELT_STYLE</t>
  </si>
  <si>
    <t>STYLE_NAME</t>
  </si>
  <si>
    <t>BELT MATERIAL</t>
  </si>
  <si>
    <t>BELT COLOR</t>
  </si>
  <si>
    <t>STRAIGHT</t>
  </si>
  <si>
    <t>100</t>
  </si>
  <si>
    <t>FG</t>
  </si>
  <si>
    <t>-</t>
  </si>
  <si>
    <t>TRT-.85</t>
  </si>
  <si>
    <t>.85 TRANVERSE ROLLER TOP</t>
  </si>
  <si>
    <t>ACETAL</t>
  </si>
  <si>
    <t>WHITE</t>
  </si>
  <si>
    <t>RR</t>
  </si>
  <si>
    <t>ARB-0</t>
  </si>
  <si>
    <t>0° ANGLED ROLLER TOP</t>
  </si>
  <si>
    <t>POLYPROPYLENE</t>
  </si>
  <si>
    <t>BLACK</t>
  </si>
  <si>
    <t>200</t>
  </si>
  <si>
    <t>OG</t>
  </si>
  <si>
    <t>ARB-30</t>
  </si>
  <si>
    <t>30° ANGLED ROLLER TOP</t>
  </si>
  <si>
    <t>POLYETHYLENE</t>
  </si>
  <si>
    <t>BLUE</t>
  </si>
  <si>
    <t>ARB-45</t>
  </si>
  <si>
    <t>45° ANGLE ROLLER TOP</t>
  </si>
  <si>
    <t>ABRASION RESISTANT NYLON</t>
  </si>
  <si>
    <t>NATURAL</t>
  </si>
  <si>
    <t>OH</t>
  </si>
  <si>
    <t>ARB-60</t>
  </si>
  <si>
    <t>60° ANGLE ROLLER TOP</t>
  </si>
  <si>
    <t>DETECTABLE ACETAL</t>
  </si>
  <si>
    <t>GREY</t>
  </si>
  <si>
    <t>400</t>
  </si>
  <si>
    <t>ARB-90</t>
  </si>
  <si>
    <t>90° ANGLED ROLLER TOP</t>
  </si>
  <si>
    <t>DETECTABLE NYLON</t>
  </si>
  <si>
    <t>LIGHT TEAL</t>
  </si>
  <si>
    <t>ARB-90_.78</t>
  </si>
  <si>
    <t>DETECTABLE POLYPROPYLENE</t>
  </si>
  <si>
    <t>BB</t>
  </si>
  <si>
    <t>BALL BELT</t>
  </si>
  <si>
    <t>EASY RELEASE PLUS</t>
  </si>
  <si>
    <t>FT</t>
  </si>
  <si>
    <t>CT</t>
  </si>
  <si>
    <t>CONE TOP</t>
  </si>
  <si>
    <t>EASY RELASE TRACEABLE POLYPROPYLENE</t>
  </si>
  <si>
    <t>NS</t>
  </si>
  <si>
    <t>DFT</t>
  </si>
  <si>
    <t>DIAMOND FRICTION TOP</t>
  </si>
  <si>
    <t>ELECTRICAL CONDUCTIVE (EC) ACETAL</t>
  </si>
  <si>
    <t>RT</t>
  </si>
  <si>
    <t>EMBEDDED DIAMOND TOP</t>
  </si>
  <si>
    <t>ENDURALOX POLYPROPYLENE</t>
  </si>
  <si>
    <t>TRT</t>
  </si>
  <si>
    <t>FLAT FRICTION TOP</t>
  </si>
  <si>
    <t>FLAME RETARDANT THERMOPLASTIC POLYESTER (FR-TPES)</t>
  </si>
  <si>
    <t>FLAT FRICTION TOP WITH 3.25in MOLD TABS</t>
  </si>
  <si>
    <t>HEAT RESISTANT NYLON (HR)</t>
  </si>
  <si>
    <t>FLUSH GRID</t>
  </si>
  <si>
    <t>HI-IMPACT</t>
  </si>
  <si>
    <t>FGFT</t>
  </si>
  <si>
    <t>FLUSH GRID FRICTION TOP</t>
  </si>
  <si>
    <t>HIGH HEAT RESISTANT NYLON (HHR)</t>
  </si>
  <si>
    <t>FGFT-NI</t>
  </si>
  <si>
    <t>FLUSH GRID FRICTION TOP NO INDENT</t>
  </si>
  <si>
    <t>NYLON</t>
  </si>
  <si>
    <t>FG-CE</t>
  </si>
  <si>
    <t>FLUSH GRID, CONTAINED EDGE</t>
  </si>
  <si>
    <t>POLYPROPYLENE COMPOSITE</t>
  </si>
  <si>
    <t>FG-IR</t>
  </si>
  <si>
    <t>FLUSH GRID W .75 INSERT ROLLERS</t>
  </si>
  <si>
    <t>PVDF</t>
  </si>
  <si>
    <t>FG-MW</t>
  </si>
  <si>
    <t>FLUSH GRID, MOLD TO WIDTH</t>
  </si>
  <si>
    <t>SELF EXTINGUISHING LOW MOISTURE (SELM)</t>
  </si>
  <si>
    <t>FGNT</t>
  </si>
  <si>
    <t>FLUSH GRID NUB TOP</t>
  </si>
  <si>
    <t>UVFR</t>
  </si>
  <si>
    <t>550</t>
  </si>
  <si>
    <t>TTFT</t>
  </si>
  <si>
    <t>FLAT TOP</t>
  </si>
  <si>
    <t>X-RAY DETECTABLE ACETAL</t>
  </si>
  <si>
    <t>800</t>
  </si>
  <si>
    <t>FTER</t>
  </si>
  <si>
    <t>FLAT TOP EASY RELEASE</t>
  </si>
  <si>
    <t>OHFT</t>
  </si>
  <si>
    <t>FTERT</t>
  </si>
  <si>
    <t>FLAT TOP EASY RELEASE TRACEABLE POLYPRO</t>
  </si>
  <si>
    <t>SF-OHFT</t>
  </si>
  <si>
    <t>FT-MW</t>
  </si>
  <si>
    <t>FLAT TOP MOLD TO WIDTH</t>
  </si>
  <si>
    <t>TFT</t>
  </si>
  <si>
    <t>IR</t>
  </si>
  <si>
    <t>INSERT ROLLER</t>
  </si>
  <si>
    <t>PFT</t>
  </si>
  <si>
    <t>IR-HD</t>
  </si>
  <si>
    <t>INSERT ROLLER - HIGH DENSITY</t>
  </si>
  <si>
    <t>PFT-RH</t>
  </si>
  <si>
    <t>LS-SSL</t>
  </si>
  <si>
    <t>LARGE SLOAT - SLOT SIZE LINEAR</t>
  </si>
  <si>
    <t>MR</t>
  </si>
  <si>
    <t>MINI-RIB</t>
  </si>
  <si>
    <t>MT</t>
  </si>
  <si>
    <t>MS</t>
  </si>
  <si>
    <t>MEDIUM SLOT</t>
  </si>
  <si>
    <t>MS-SSL</t>
  </si>
  <si>
    <t>MEDIUM SLOT - SLOT SIZE LINEAR</t>
  </si>
  <si>
    <t>NT</t>
  </si>
  <si>
    <t>MESH TOP</t>
  </si>
  <si>
    <t>MNT</t>
  </si>
  <si>
    <t>MESH NUB TOP</t>
  </si>
  <si>
    <t>SF-OHNT</t>
  </si>
  <si>
    <t>NON SKID</t>
  </si>
  <si>
    <t>NSRR</t>
  </si>
  <si>
    <t>NON SKID RAISED RIB</t>
  </si>
  <si>
    <t>OHCT</t>
  </si>
  <si>
    <t>NUB TOP</t>
  </si>
  <si>
    <t>SF-OHCT</t>
  </si>
  <si>
    <t>OFT</t>
  </si>
  <si>
    <t>OVAL FRICTION TOP</t>
  </si>
  <si>
    <t>OPEN GRID</t>
  </si>
  <si>
    <t>OPEN HINGE</t>
  </si>
  <si>
    <t>FT-R</t>
  </si>
  <si>
    <t>OPEN HINGE CONE TOP</t>
  </si>
  <si>
    <t>850</t>
  </si>
  <si>
    <t>SF-MHFT</t>
  </si>
  <si>
    <t>OPEN HINGE FLAT TOP</t>
  </si>
  <si>
    <t>SF-MHNT</t>
  </si>
  <si>
    <t>PERFORATED FLAT TOP</t>
  </si>
  <si>
    <t>SF-MHCT</t>
  </si>
  <si>
    <t>PERFORATED FLAT TOP-ROUND HOLE</t>
  </si>
  <si>
    <t>880</t>
  </si>
  <si>
    <t>ROUNDED FRICTION TOP</t>
  </si>
  <si>
    <t xml:space="preserve">RHE </t>
  </si>
  <si>
    <t>ROUND HOLE - ENHANCED</t>
  </si>
  <si>
    <t>ROG</t>
  </si>
  <si>
    <t>RAISED OPEN GRID</t>
  </si>
  <si>
    <t>RHE</t>
  </si>
  <si>
    <t>RAISED RIB</t>
  </si>
  <si>
    <t>900</t>
  </si>
  <si>
    <t>RR-MW</t>
  </si>
  <si>
    <t>RAISED RIB - MOLD TO WIDTH</t>
  </si>
  <si>
    <t>ROLLER TOP</t>
  </si>
  <si>
    <t>OFG</t>
  </si>
  <si>
    <t>SEAM FREE MINIMUM HINGE CONE TOP</t>
  </si>
  <si>
    <t>SEAM FREE MINIMUM HINGE FLAT TOP</t>
  </si>
  <si>
    <t>SEAM FREE MINIMUM HINGE NUB TOP</t>
  </si>
  <si>
    <t>SEAM FREE OPEN HINGE CONE TOP</t>
  </si>
  <si>
    <t>SEAM FREE OPEN HINGE FLAT TOP</t>
  </si>
  <si>
    <t>SEAM FREE OPEN HINGE NUB TOP</t>
  </si>
  <si>
    <t>SFT</t>
  </si>
  <si>
    <t xml:space="preserve">SQUARE FRICTION TOP  </t>
  </si>
  <si>
    <t>SFT-29MW</t>
  </si>
  <si>
    <t>SQUARE FRICTION TOP - 29mm MOLD TO WIDTH</t>
  </si>
  <si>
    <t>TOUGH FLAT TOP</t>
  </si>
  <si>
    <t>SFT_MW</t>
  </si>
  <si>
    <t>TRANSVERSE ROLLER TOP</t>
  </si>
  <si>
    <t>TIGHT TRANSFER FLAT TOP</t>
  </si>
  <si>
    <t>6FT-MW</t>
  </si>
  <si>
    <t>6" FLAT TOP MOLD TO WIDTH</t>
  </si>
  <si>
    <t>3.25" FLAT FRICTION TOP MOLD TO WIDTH</t>
  </si>
  <si>
    <t>RR-NS</t>
  </si>
  <si>
    <t>RAISED RIB, NON-SKID</t>
  </si>
  <si>
    <t>1000</t>
  </si>
  <si>
    <t>R-FT-ZT</t>
  </si>
  <si>
    <t>RADIUS FLAT TOP - ZERO TANGENT</t>
  </si>
  <si>
    <t>R-FG</t>
  </si>
  <si>
    <t>RADIUS FLUSH GRID</t>
  </si>
  <si>
    <t>HDIR</t>
  </si>
  <si>
    <t>R-FG-HD</t>
  </si>
  <si>
    <t>RADIUS FLUSH GRID - HIGH DECK</t>
  </si>
  <si>
    <t>R-EB</t>
  </si>
  <si>
    <t>RADIUS W/ EDGE BEARING</t>
  </si>
  <si>
    <t>R-FG-HB-EB</t>
  </si>
  <si>
    <t>RADIUS FLUSH GRID - HIGH DECK W/ EDGE BEARING</t>
  </si>
  <si>
    <t>R-FGN-RTT</t>
  </si>
  <si>
    <t>RADIUS FLUSH GRID NOSE - ROLLER TIGHT TURNING</t>
  </si>
  <si>
    <t>1100</t>
  </si>
  <si>
    <t>R-FGN-RTT-EB</t>
  </si>
  <si>
    <t>RADIUS FLUSH GRID NOSE - ROLLER TIGHT TURNING W/ EDGE BEARING</t>
  </si>
  <si>
    <t>R-FG-17</t>
  </si>
  <si>
    <t>RADIUS FLUSH GRID- 1.7 BELT WIDTH</t>
  </si>
  <si>
    <t>R-FG-22</t>
  </si>
  <si>
    <t>RADIUS FLUSH GRID - 2.2 BELT WIDTH</t>
  </si>
  <si>
    <t>R-FG-24-IR</t>
  </si>
  <si>
    <t>RADIUS FLUSH GRID - 2.4 BELT WIDTH W/ INSERT ROLLERS</t>
  </si>
  <si>
    <t>R-FG-28-IR</t>
  </si>
  <si>
    <t>RADIUS FLUSH GRID - 2.8 BELT WIDTH W/ INSERT ROLLERS</t>
  </si>
  <si>
    <t>R-RR</t>
  </si>
  <si>
    <t>RADIUS RAISED RIB</t>
  </si>
  <si>
    <t>R-FT</t>
  </si>
  <si>
    <t xml:space="preserve">RADIUS FLAT TOP  </t>
  </si>
  <si>
    <t>R-4FRT</t>
  </si>
  <si>
    <t>RADIUS  4" HIGH FRICTION TOP</t>
  </si>
  <si>
    <t>R-FG-HD-EB</t>
  </si>
  <si>
    <t>RADIUS FLUSH GRID, HIGH DECK W/ EDGE BEARING</t>
  </si>
  <si>
    <t>1200</t>
  </si>
  <si>
    <t>KN</t>
  </si>
  <si>
    <t>KNUCKLE CHAIN P148</t>
  </si>
  <si>
    <t>KN-MT</t>
  </si>
  <si>
    <t>KNUCKLE CHAIN - MESH TOP</t>
  </si>
  <si>
    <t>1400</t>
  </si>
  <si>
    <t>FT-MW6</t>
  </si>
  <si>
    <t>SFT-MW</t>
  </si>
  <si>
    <t>OFT-MW</t>
  </si>
  <si>
    <t>1500</t>
  </si>
  <si>
    <t>1600</t>
  </si>
  <si>
    <t>OHFT-MW</t>
  </si>
  <si>
    <t>1650</t>
  </si>
  <si>
    <t>1700</t>
  </si>
  <si>
    <t>1800</t>
  </si>
  <si>
    <t>1900</t>
  </si>
  <si>
    <t>4400</t>
  </si>
  <si>
    <t>4500</t>
  </si>
  <si>
    <t>9000</t>
  </si>
  <si>
    <t>10000</t>
  </si>
  <si>
    <t>RADIUS</t>
  </si>
  <si>
    <t>2100</t>
  </si>
  <si>
    <t>2200</t>
  </si>
  <si>
    <t>R-FRT</t>
  </si>
  <si>
    <t>R-FG-IR</t>
  </si>
  <si>
    <t>2300</t>
  </si>
  <si>
    <t>2400</t>
  </si>
  <si>
    <t>R-FG-22-MW</t>
  </si>
  <si>
    <t>R-FT-22</t>
  </si>
  <si>
    <t>DRIVE/SUPPORT CONFIGURATIONS</t>
  </si>
  <si>
    <t>SPROCKETS</t>
  </si>
  <si>
    <t>CARRYWAYS</t>
  </si>
  <si>
    <t>RETURNWAYS</t>
  </si>
  <si>
    <t>in</t>
  </si>
  <si>
    <t>Chevron/Flat</t>
  </si>
  <si>
    <t>WIDTH INCR</t>
  </si>
  <si>
    <t>MIN WIDTH</t>
  </si>
  <si>
    <t>CATALOG</t>
  </si>
  <si>
    <t>FFT</t>
  </si>
  <si>
    <t>FFT-MT</t>
  </si>
  <si>
    <t>325FFT-MW</t>
  </si>
  <si>
    <t>1750</t>
  </si>
  <si>
    <t>LRRT</t>
  </si>
  <si>
    <t>LEFT/RIGHT ROLLER TOP</t>
  </si>
  <si>
    <t>MAX WIDTH 3900mm</t>
  </si>
  <si>
    <t>Pitch</t>
  </si>
  <si>
    <t>OPEN FLUSH GRID</t>
  </si>
  <si>
    <t xml:space="preserve">PITCH </t>
  </si>
  <si>
    <t>SHAFT DROP</t>
  </si>
  <si>
    <t>No Teeth</t>
  </si>
  <si>
    <t>Bseries</t>
  </si>
  <si>
    <t>Bstyle</t>
  </si>
  <si>
    <t>BS_Name</t>
  </si>
  <si>
    <t>BeltPitch</t>
  </si>
  <si>
    <t xml:space="preserve">SPROCKET DATA </t>
  </si>
  <si>
    <t>SPROCKET PITCH DIA.</t>
  </si>
  <si>
    <t>SPROCKET TEETH</t>
  </si>
  <si>
    <t>ul</t>
  </si>
  <si>
    <t xml:space="preserve">BELT DATA </t>
  </si>
  <si>
    <t>Spr_PD</t>
  </si>
  <si>
    <t>Spr_Teeth</t>
  </si>
  <si>
    <t>Shaft_Drop</t>
  </si>
  <si>
    <t>Par_Names</t>
  </si>
  <si>
    <t>Belt Series</t>
  </si>
  <si>
    <t>Belt Style (Abbrev)</t>
  </si>
  <si>
    <t>Belt Style (Name)</t>
  </si>
  <si>
    <t>Belt Thickness</t>
  </si>
  <si>
    <t>PinToBase</t>
  </si>
  <si>
    <t>MinWIdth</t>
  </si>
  <si>
    <t>Minimum Belt Width</t>
  </si>
  <si>
    <t>Belt Width Increments</t>
  </si>
  <si>
    <t>WidthIncrement</t>
  </si>
  <si>
    <t>Pin To Base</t>
  </si>
  <si>
    <t>Belt Pitch</t>
  </si>
  <si>
    <t>OPEN HINGE FLAT TOP - MOLD TO WIDTH</t>
  </si>
  <si>
    <t>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</si>
</sst>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gradientFill degree="90">
        <stop position="0">
          <color theme="0"/>
        </stop>
        <stop position="1">
          <color theme="9" tint="-0.25098422193060094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0"/>
        </stop>
        <stop position="1">
          <color theme="2" tint="-0.25098422193060094"/>
        </stop>
      </gradientFill>
    </fill>
    <fill>
      <gradientFill degree="90">
        <stop position="0">
          <color theme="0"/>
        </stop>
        <stop position="1">
          <color theme="4"/>
        </stop>
      </gradientFill>
    </fill>
    <fill>
      <gradientFill>
        <stop position="0">
          <color theme="0"/>
        </stop>
        <stop position="1">
          <color theme="4" tint="0.59999389629810485"/>
        </stop>
      </gradientFill>
    </fill>
    <fill>
      <gradientFill degree="90">
        <stop position="0">
          <color theme="0"/>
        </stop>
        <stop position="1">
          <color theme="5" tint="0.59999389629810485"/>
        </stop>
      </gradientFill>
    </fill>
    <fill>
      <gradientFill>
        <stop position="0">
          <color theme="0"/>
        </stop>
        <stop position="1">
          <color theme="5" tint="0.59999389629810485"/>
        </stop>
      </gradient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/>
    <xf numFmtId="49" fontId="1" fillId="2" borderId="4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49" fontId="1" fillId="3" borderId="4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2" fontId="1" fillId="4" borderId="5" xfId="0" applyNumberFormat="1" applyFont="1" applyFill="1" applyBorder="1" applyAlignment="1">
      <alignment horizontal="center"/>
    </xf>
    <xf numFmtId="164" fontId="1" fillId="4" borderId="5" xfId="0" applyNumberFormat="1" applyFont="1" applyFill="1" applyBorder="1" applyAlignment="1">
      <alignment horizontal="center"/>
    </xf>
    <xf numFmtId="49" fontId="1" fillId="5" borderId="4" xfId="0" applyNumberFormat="1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center"/>
    </xf>
    <xf numFmtId="49" fontId="1" fillId="6" borderId="4" xfId="0" applyNumberFormat="1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2" fontId="1" fillId="6" borderId="5" xfId="0" applyNumberFormat="1" applyFont="1" applyFill="1" applyBorder="1" applyAlignment="1">
      <alignment horizontal="center"/>
    </xf>
    <xf numFmtId="164" fontId="1" fillId="6" borderId="5" xfId="0" applyNumberFormat="1" applyFont="1" applyFill="1" applyBorder="1" applyAlignment="1">
      <alignment horizontal="center"/>
    </xf>
    <xf numFmtId="49" fontId="1" fillId="7" borderId="4" xfId="0" applyNumberFormat="1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2" fontId="1" fillId="7" borderId="5" xfId="0" applyNumberFormat="1" applyFont="1" applyFill="1" applyBorder="1" applyAlignment="1">
      <alignment horizontal="center"/>
    </xf>
    <xf numFmtId="164" fontId="1" fillId="7" borderId="5" xfId="0" applyNumberFormat="1" applyFont="1" applyFill="1" applyBorder="1" applyAlignment="1">
      <alignment horizontal="center"/>
    </xf>
    <xf numFmtId="49" fontId="1" fillId="8" borderId="4" xfId="0" applyNumberFormat="1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2" fontId="1" fillId="8" borderId="5" xfId="0" applyNumberFormat="1" applyFont="1" applyFill="1" applyBorder="1" applyAlignment="1">
      <alignment horizontal="center"/>
    </xf>
    <xf numFmtId="164" fontId="1" fillId="8" borderId="5" xfId="0" applyNumberFormat="1" applyFont="1" applyFill="1" applyBorder="1" applyAlignment="1">
      <alignment horizontal="center"/>
    </xf>
    <xf numFmtId="49" fontId="1" fillId="8" borderId="5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49" fontId="1" fillId="9" borderId="4" xfId="0" applyNumberFormat="1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2" fontId="1" fillId="9" borderId="5" xfId="0" applyNumberFormat="1" applyFont="1" applyFill="1" applyBorder="1" applyAlignment="1">
      <alignment horizontal="center"/>
    </xf>
    <xf numFmtId="164" fontId="1" fillId="9" borderId="5" xfId="0" applyNumberFormat="1" applyFont="1" applyFill="1" applyBorder="1" applyAlignment="1">
      <alignment horizontal="center"/>
    </xf>
    <xf numFmtId="49" fontId="1" fillId="10" borderId="4" xfId="0" applyNumberFormat="1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2" fontId="1" fillId="10" borderId="5" xfId="0" applyNumberFormat="1" applyFont="1" applyFill="1" applyBorder="1" applyAlignment="1">
      <alignment horizontal="center"/>
    </xf>
    <xf numFmtId="164" fontId="1" fillId="10" borderId="5" xfId="0" applyNumberFormat="1" applyFont="1" applyFill="1" applyBorder="1" applyAlignment="1">
      <alignment horizontal="center"/>
    </xf>
    <xf numFmtId="49" fontId="1" fillId="11" borderId="4" xfId="0" applyNumberFormat="1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2" fontId="1" fillId="11" borderId="5" xfId="0" applyNumberFormat="1" applyFont="1" applyFill="1" applyBorder="1" applyAlignment="1">
      <alignment horizontal="center"/>
    </xf>
    <xf numFmtId="164" fontId="1" fillId="11" borderId="5" xfId="0" applyNumberFormat="1" applyFont="1" applyFill="1" applyBorder="1" applyAlignment="1">
      <alignment horizontal="center"/>
    </xf>
    <xf numFmtId="49" fontId="1" fillId="12" borderId="4" xfId="0" applyNumberFormat="1" applyFont="1" applyFill="1" applyBorder="1" applyAlignment="1">
      <alignment horizontal="center"/>
    </xf>
    <xf numFmtId="0" fontId="1" fillId="12" borderId="5" xfId="0" applyFont="1" applyFill="1" applyBorder="1" applyAlignment="1">
      <alignment horizontal="center"/>
    </xf>
    <xf numFmtId="2" fontId="1" fillId="12" borderId="5" xfId="0" applyNumberFormat="1" applyFont="1" applyFill="1" applyBorder="1" applyAlignment="1">
      <alignment horizontal="center"/>
    </xf>
    <xf numFmtId="164" fontId="1" fillId="12" borderId="5" xfId="0" applyNumberFormat="1" applyFont="1" applyFill="1" applyBorder="1" applyAlignment="1">
      <alignment horizontal="center"/>
    </xf>
    <xf numFmtId="49" fontId="1" fillId="13" borderId="4" xfId="0" applyNumberFormat="1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/>
    </xf>
    <xf numFmtId="2" fontId="1" fillId="13" borderId="5" xfId="0" applyNumberFormat="1" applyFont="1" applyFill="1" applyBorder="1" applyAlignment="1">
      <alignment horizontal="center"/>
    </xf>
    <xf numFmtId="164" fontId="1" fillId="13" borderId="5" xfId="0" applyNumberFormat="1" applyFont="1" applyFill="1" applyBorder="1" applyAlignment="1">
      <alignment horizontal="center"/>
    </xf>
    <xf numFmtId="49" fontId="1" fillId="14" borderId="4" xfId="0" applyNumberFormat="1" applyFont="1" applyFill="1" applyBorder="1" applyAlignment="1">
      <alignment horizontal="center"/>
    </xf>
    <xf numFmtId="0" fontId="1" fillId="14" borderId="5" xfId="0" applyFont="1" applyFill="1" applyBorder="1" applyAlignment="1">
      <alignment horizontal="center"/>
    </xf>
    <xf numFmtId="2" fontId="1" fillId="14" borderId="5" xfId="0" applyNumberFormat="1" applyFont="1" applyFill="1" applyBorder="1" applyAlignment="1">
      <alignment horizontal="center"/>
    </xf>
    <xf numFmtId="164" fontId="1" fillId="14" borderId="5" xfId="0" applyNumberFormat="1" applyFont="1" applyFill="1" applyBorder="1" applyAlignment="1">
      <alignment horizontal="center"/>
    </xf>
    <xf numFmtId="49" fontId="1" fillId="15" borderId="4" xfId="0" applyNumberFormat="1" applyFont="1" applyFill="1" applyBorder="1" applyAlignment="1">
      <alignment horizontal="center"/>
    </xf>
    <xf numFmtId="0" fontId="1" fillId="15" borderId="5" xfId="0" applyFont="1" applyFill="1" applyBorder="1" applyAlignment="1">
      <alignment horizontal="center"/>
    </xf>
    <xf numFmtId="2" fontId="1" fillId="15" borderId="5" xfId="0" applyNumberFormat="1" applyFont="1" applyFill="1" applyBorder="1" applyAlignment="1">
      <alignment horizontal="center"/>
    </xf>
    <xf numFmtId="164" fontId="1" fillId="15" borderId="5" xfId="0" applyNumberFormat="1" applyFont="1" applyFill="1" applyBorder="1" applyAlignment="1">
      <alignment horizontal="center"/>
    </xf>
    <xf numFmtId="49" fontId="1" fillId="16" borderId="4" xfId="0" applyNumberFormat="1" applyFont="1" applyFill="1" applyBorder="1" applyAlignment="1">
      <alignment horizontal="center"/>
    </xf>
    <xf numFmtId="0" fontId="1" fillId="16" borderId="5" xfId="0" applyFont="1" applyFill="1" applyBorder="1" applyAlignment="1">
      <alignment horizontal="center"/>
    </xf>
    <xf numFmtId="2" fontId="1" fillId="16" borderId="5" xfId="0" applyNumberFormat="1" applyFont="1" applyFill="1" applyBorder="1" applyAlignment="1">
      <alignment horizontal="center"/>
    </xf>
    <xf numFmtId="164" fontId="1" fillId="16" borderId="5" xfId="0" applyNumberFormat="1" applyFont="1" applyFill="1" applyBorder="1" applyAlignment="1">
      <alignment horizontal="center"/>
    </xf>
    <xf numFmtId="49" fontId="1" fillId="17" borderId="4" xfId="0" applyNumberFormat="1" applyFont="1" applyFill="1" applyBorder="1" applyAlignment="1">
      <alignment horizontal="center"/>
    </xf>
    <xf numFmtId="0" fontId="1" fillId="17" borderId="5" xfId="0" applyFont="1" applyFill="1" applyBorder="1" applyAlignment="1">
      <alignment horizontal="center"/>
    </xf>
    <xf numFmtId="2" fontId="1" fillId="17" borderId="5" xfId="0" applyNumberFormat="1" applyFont="1" applyFill="1" applyBorder="1" applyAlignment="1">
      <alignment horizontal="center"/>
    </xf>
    <xf numFmtId="164" fontId="1" fillId="17" borderId="5" xfId="0" applyNumberFormat="1" applyFont="1" applyFill="1" applyBorder="1" applyAlignment="1">
      <alignment horizontal="center"/>
    </xf>
    <xf numFmtId="49" fontId="1" fillId="18" borderId="4" xfId="0" applyNumberFormat="1" applyFont="1" applyFill="1" applyBorder="1" applyAlignment="1">
      <alignment horizontal="center"/>
    </xf>
    <xf numFmtId="0" fontId="1" fillId="18" borderId="5" xfId="0" applyFont="1" applyFill="1" applyBorder="1" applyAlignment="1">
      <alignment horizontal="center"/>
    </xf>
    <xf numFmtId="2" fontId="1" fillId="18" borderId="5" xfId="0" applyNumberFormat="1" applyFont="1" applyFill="1" applyBorder="1" applyAlignment="1">
      <alignment horizontal="center"/>
    </xf>
    <xf numFmtId="164" fontId="1" fillId="18" borderId="5" xfId="0" applyNumberFormat="1" applyFont="1" applyFill="1" applyBorder="1" applyAlignment="1">
      <alignment horizontal="center"/>
    </xf>
    <xf numFmtId="49" fontId="1" fillId="19" borderId="4" xfId="0" applyNumberFormat="1" applyFont="1" applyFill="1" applyBorder="1" applyAlignment="1">
      <alignment horizontal="center"/>
    </xf>
    <xf numFmtId="0" fontId="1" fillId="19" borderId="5" xfId="0" applyFont="1" applyFill="1" applyBorder="1" applyAlignment="1">
      <alignment horizontal="center"/>
    </xf>
    <xf numFmtId="2" fontId="1" fillId="19" borderId="5" xfId="0" applyNumberFormat="1" applyFont="1" applyFill="1" applyBorder="1" applyAlignment="1">
      <alignment horizontal="center"/>
    </xf>
    <xf numFmtId="164" fontId="1" fillId="19" borderId="5" xfId="0" applyNumberFormat="1" applyFont="1" applyFill="1" applyBorder="1" applyAlignment="1">
      <alignment horizontal="center"/>
    </xf>
    <xf numFmtId="49" fontId="1" fillId="20" borderId="4" xfId="0" applyNumberFormat="1" applyFont="1" applyFill="1" applyBorder="1" applyAlignment="1">
      <alignment horizontal="center"/>
    </xf>
    <xf numFmtId="0" fontId="1" fillId="20" borderId="5" xfId="0" applyFont="1" applyFill="1" applyBorder="1" applyAlignment="1">
      <alignment horizontal="center"/>
    </xf>
    <xf numFmtId="2" fontId="1" fillId="20" borderId="5" xfId="0" applyNumberFormat="1" applyFont="1" applyFill="1" applyBorder="1" applyAlignment="1">
      <alignment horizontal="center"/>
    </xf>
    <xf numFmtId="164" fontId="1" fillId="20" borderId="5" xfId="0" applyNumberFormat="1" applyFont="1" applyFill="1" applyBorder="1" applyAlignment="1">
      <alignment horizontal="center"/>
    </xf>
    <xf numFmtId="0" fontId="1" fillId="20" borderId="7" xfId="0" applyFont="1" applyFill="1" applyBorder="1" applyAlignment="1">
      <alignment horizontal="center"/>
    </xf>
    <xf numFmtId="2" fontId="1" fillId="20" borderId="7" xfId="0" applyNumberFormat="1" applyFont="1" applyFill="1" applyBorder="1" applyAlignment="1">
      <alignment horizontal="center"/>
    </xf>
    <xf numFmtId="164" fontId="1" fillId="20" borderId="7" xfId="0" applyNumberFormat="1" applyFont="1" applyFill="1" applyBorder="1" applyAlignment="1">
      <alignment horizontal="center"/>
    </xf>
    <xf numFmtId="49" fontId="1" fillId="14" borderId="1" xfId="0" applyNumberFormat="1" applyFon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2" fontId="1" fillId="14" borderId="2" xfId="0" applyNumberFormat="1" applyFont="1" applyFill="1" applyBorder="1" applyAlignment="1">
      <alignment horizontal="center"/>
    </xf>
    <xf numFmtId="164" fontId="1" fillId="14" borderId="2" xfId="0" applyNumberFormat="1" applyFont="1" applyFill="1" applyBorder="1" applyAlignment="1">
      <alignment horizontal="center"/>
    </xf>
    <xf numFmtId="49" fontId="1" fillId="21" borderId="4" xfId="0" applyNumberFormat="1" applyFont="1" applyFill="1" applyBorder="1" applyAlignment="1">
      <alignment horizontal="center"/>
    </xf>
    <xf numFmtId="0" fontId="1" fillId="21" borderId="5" xfId="0" applyFont="1" applyFill="1" applyBorder="1" applyAlignment="1">
      <alignment horizontal="center"/>
    </xf>
    <xf numFmtId="2" fontId="1" fillId="21" borderId="5" xfId="0" applyNumberFormat="1" applyFont="1" applyFill="1" applyBorder="1" applyAlignment="1">
      <alignment horizontal="center"/>
    </xf>
    <xf numFmtId="164" fontId="1" fillId="21" borderId="5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11" xfId="0" applyFill="1" applyBorder="1"/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0" xfId="0" applyFill="1" applyBorder="1"/>
    <xf numFmtId="0" fontId="0" fillId="8" borderId="15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Border="1"/>
    <xf numFmtId="0" fontId="0" fillId="0" borderId="5" xfId="0" applyFill="1" applyBorder="1"/>
    <xf numFmtId="0" fontId="0" fillId="0" borderId="6" xfId="0" applyFill="1" applyBorder="1"/>
    <xf numFmtId="0" fontId="0" fillId="8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8" borderId="2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Border="1"/>
    <xf numFmtId="0" fontId="0" fillId="0" borderId="24" xfId="0" applyFill="1" applyBorder="1"/>
    <xf numFmtId="0" fontId="0" fillId="0" borderId="22" xfId="0" applyBorder="1"/>
    <xf numFmtId="0" fontId="0" fillId="0" borderId="22" xfId="0" applyFill="1" applyBorder="1"/>
    <xf numFmtId="0" fontId="0" fillId="0" borderId="23" xfId="0" applyFill="1" applyBorder="1"/>
    <xf numFmtId="0" fontId="0" fillId="8" borderId="25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8" borderId="33" xfId="0" applyFill="1" applyBorder="1" applyAlignment="1">
      <alignment horizontal="center"/>
    </xf>
    <xf numFmtId="0" fontId="0" fillId="0" borderId="31" xfId="0" applyBorder="1"/>
    <xf numFmtId="0" fontId="0" fillId="0" borderId="34" xfId="0" applyBorder="1"/>
    <xf numFmtId="0" fontId="0" fillId="0" borderId="32" xfId="0" applyBorder="1"/>
    <xf numFmtId="0" fontId="0" fillId="8" borderId="31" xfId="0" applyFill="1" applyBorder="1" applyAlignment="1">
      <alignment horizontal="center"/>
    </xf>
    <xf numFmtId="0" fontId="0" fillId="0" borderId="31" xfId="0" applyFill="1" applyBorder="1"/>
    <xf numFmtId="0" fontId="0" fillId="0" borderId="32" xfId="0" applyFill="1" applyBorder="1"/>
    <xf numFmtId="0" fontId="1" fillId="0" borderId="0" xfId="0" applyFont="1" applyAlignment="1">
      <alignment horizontal="center" vertical="center"/>
    </xf>
    <xf numFmtId="0" fontId="1" fillId="2" borderId="31" xfId="0" applyFont="1" applyFill="1" applyBorder="1" applyAlignment="1">
      <alignment horizontal="center"/>
    </xf>
    <xf numFmtId="0" fontId="1" fillId="23" borderId="5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/>
    </xf>
    <xf numFmtId="2" fontId="1" fillId="4" borderId="31" xfId="0" applyNumberFormat="1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/>
    </xf>
    <xf numFmtId="0" fontId="1" fillId="16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8" borderId="31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 vertical="center"/>
    </xf>
    <xf numFmtId="0" fontId="1" fillId="9" borderId="31" xfId="0" applyFont="1" applyFill="1" applyBorder="1" applyAlignment="1">
      <alignment horizontal="center"/>
    </xf>
    <xf numFmtId="0" fontId="1" fillId="10" borderId="31" xfId="0" applyFont="1" applyFill="1" applyBorder="1" applyAlignment="1">
      <alignment horizontal="center"/>
    </xf>
    <xf numFmtId="0" fontId="1" fillId="11" borderId="31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13" borderId="31" xfId="0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 vertical="center"/>
    </xf>
    <xf numFmtId="0" fontId="1" fillId="14" borderId="31" xfId="0" applyFont="1" applyFill="1" applyBorder="1" applyAlignment="1">
      <alignment horizontal="center"/>
    </xf>
    <xf numFmtId="0" fontId="1" fillId="14" borderId="5" xfId="0" applyFont="1" applyFill="1" applyBorder="1" applyAlignment="1">
      <alignment horizontal="center" vertical="center"/>
    </xf>
    <xf numFmtId="0" fontId="1" fillId="15" borderId="31" xfId="0" applyFont="1" applyFill="1" applyBorder="1" applyAlignment="1">
      <alignment horizontal="center"/>
    </xf>
    <xf numFmtId="0" fontId="1" fillId="17" borderId="5" xfId="0" applyFont="1" applyFill="1" applyBorder="1" applyAlignment="1">
      <alignment horizontal="center" vertical="center"/>
    </xf>
    <xf numFmtId="0" fontId="1" fillId="15" borderId="5" xfId="0" applyFont="1" applyFill="1" applyBorder="1" applyAlignment="1">
      <alignment horizontal="center" vertical="center"/>
    </xf>
    <xf numFmtId="0" fontId="1" fillId="19" borderId="31" xfId="0" applyFont="1" applyFill="1" applyBorder="1" applyAlignment="1">
      <alignment horizontal="center"/>
    </xf>
    <xf numFmtId="0" fontId="1" fillId="19" borderId="5" xfId="0" applyFont="1" applyFill="1" applyBorder="1" applyAlignment="1">
      <alignment horizontal="center" vertical="center"/>
    </xf>
    <xf numFmtId="0" fontId="1" fillId="20" borderId="31" xfId="0" applyFont="1" applyFill="1" applyBorder="1" applyAlignment="1">
      <alignment horizontal="center"/>
    </xf>
    <xf numFmtId="0" fontId="1" fillId="20" borderId="5" xfId="0" applyFont="1" applyFill="1" applyBorder="1" applyAlignment="1">
      <alignment horizontal="center" vertical="center"/>
    </xf>
    <xf numFmtId="49" fontId="1" fillId="24" borderId="4" xfId="0" applyNumberFormat="1" applyFont="1" applyFill="1" applyBorder="1" applyAlignment="1">
      <alignment horizontal="center"/>
    </xf>
    <xf numFmtId="0" fontId="1" fillId="24" borderId="5" xfId="0" applyFont="1" applyFill="1" applyBorder="1" applyAlignment="1">
      <alignment horizontal="center"/>
    </xf>
    <xf numFmtId="2" fontId="1" fillId="24" borderId="5" xfId="0" applyNumberFormat="1" applyFont="1" applyFill="1" applyBorder="1" applyAlignment="1">
      <alignment horizontal="center"/>
    </xf>
    <xf numFmtId="164" fontId="1" fillId="24" borderId="5" xfId="0" applyNumberFormat="1" applyFont="1" applyFill="1" applyBorder="1" applyAlignment="1">
      <alignment horizontal="center"/>
    </xf>
    <xf numFmtId="0" fontId="1" fillId="24" borderId="31" xfId="0" applyFont="1" applyFill="1" applyBorder="1" applyAlignment="1">
      <alignment horizontal="center"/>
    </xf>
    <xf numFmtId="0" fontId="1" fillId="24" borderId="5" xfId="0" applyFont="1" applyFill="1" applyBorder="1" applyAlignment="1">
      <alignment horizontal="center" vertical="center"/>
    </xf>
    <xf numFmtId="0" fontId="1" fillId="16" borderId="31" xfId="0" applyFont="1" applyFill="1" applyBorder="1" applyAlignment="1">
      <alignment horizontal="center"/>
    </xf>
    <xf numFmtId="0" fontId="1" fillId="17" borderId="31" xfId="0" applyFont="1" applyFill="1" applyBorder="1" applyAlignment="1">
      <alignment horizontal="center"/>
    </xf>
    <xf numFmtId="0" fontId="1" fillId="18" borderId="31" xfId="0" applyFont="1" applyFill="1" applyBorder="1" applyAlignment="1">
      <alignment horizontal="center"/>
    </xf>
    <xf numFmtId="0" fontId="1" fillId="18" borderId="5" xfId="0" applyFont="1" applyFill="1" applyBorder="1" applyAlignment="1">
      <alignment horizontal="center" vertical="center"/>
    </xf>
    <xf numFmtId="0" fontId="1" fillId="20" borderId="35" xfId="0" applyFont="1" applyFill="1" applyBorder="1" applyAlignment="1">
      <alignment horizontal="center"/>
    </xf>
    <xf numFmtId="0" fontId="1" fillId="14" borderId="30" xfId="0" applyFont="1" applyFill="1" applyBorder="1" applyAlignment="1">
      <alignment horizontal="center"/>
    </xf>
    <xf numFmtId="0" fontId="1" fillId="21" borderId="31" xfId="0" applyFont="1" applyFill="1" applyBorder="1" applyAlignment="1">
      <alignment horizontal="center"/>
    </xf>
    <xf numFmtId="0" fontId="1" fillId="21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2" fontId="1" fillId="2" borderId="16" xfId="0" applyNumberFormat="1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23" borderId="1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9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2" fontId="0" fillId="9" borderId="6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2" fontId="0" fillId="9" borderId="17" xfId="0" applyNumberFormat="1" applyFill="1" applyBorder="1" applyAlignment="1">
      <alignment horizontal="center" vertical="center"/>
    </xf>
    <xf numFmtId="0" fontId="0" fillId="25" borderId="38" xfId="0" applyFill="1" applyBorder="1" applyAlignment="1">
      <alignment horizontal="center" vertical="center"/>
    </xf>
    <xf numFmtId="0" fontId="0" fillId="25" borderId="39" xfId="0" applyFill="1" applyBorder="1" applyAlignment="1">
      <alignment horizontal="center" vertical="center"/>
    </xf>
    <xf numFmtId="0" fontId="0" fillId="25" borderId="40" xfId="0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7" borderId="12" xfId="0" applyFont="1" applyFill="1" applyBorder="1"/>
    <xf numFmtId="0" fontId="1" fillId="27" borderId="4" xfId="0" applyFont="1" applyFill="1" applyBorder="1"/>
    <xf numFmtId="0" fontId="1" fillId="27" borderId="37" xfId="0" applyFont="1" applyFill="1" applyBorder="1"/>
    <xf numFmtId="2" fontId="1" fillId="10" borderId="41" xfId="0" applyNumberFormat="1" applyFont="1" applyFill="1" applyBorder="1" applyAlignment="1">
      <alignment horizontal="center"/>
    </xf>
    <xf numFmtId="0" fontId="0" fillId="4" borderId="16" xfId="0" applyFont="1" applyFill="1" applyBorder="1" applyAlignment="1">
      <alignment horizontal="center"/>
    </xf>
    <xf numFmtId="164" fontId="0" fillId="4" borderId="7" xfId="0" quotePrefix="1" applyNumberFormat="1" applyFont="1" applyFill="1" applyBorder="1" applyAlignment="1">
      <alignment horizontal="center"/>
    </xf>
    <xf numFmtId="0" fontId="1" fillId="4" borderId="14" xfId="0" applyFont="1" applyFill="1" applyBorder="1"/>
    <xf numFmtId="0" fontId="1" fillId="4" borderId="6" xfId="0" applyFont="1" applyFill="1" applyBorder="1"/>
    <xf numFmtId="0" fontId="1" fillId="4" borderId="36" xfId="0" applyFont="1" applyFill="1" applyBorder="1"/>
    <xf numFmtId="0" fontId="1" fillId="0" borderId="0" xfId="0" applyFont="1" applyFill="1" applyBorder="1" applyAlignment="1"/>
    <xf numFmtId="0" fontId="0" fillId="29" borderId="4" xfId="0" applyFill="1" applyBorder="1"/>
    <xf numFmtId="0" fontId="0" fillId="5" borderId="6" xfId="0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2" fontId="0" fillId="5" borderId="6" xfId="0" applyNumberFormat="1" applyFill="1" applyBorder="1" applyAlignment="1">
      <alignment horizontal="center"/>
    </xf>
    <xf numFmtId="0" fontId="0" fillId="29" borderId="37" xfId="0" applyFill="1" applyBorder="1"/>
    <xf numFmtId="2" fontId="0" fillId="5" borderId="36" xfId="0" applyNumberFormat="1" applyFill="1" applyBorder="1" applyAlignment="1">
      <alignment horizontal="center"/>
    </xf>
    <xf numFmtId="2" fontId="0" fillId="0" borderId="0" xfId="0" applyNumberFormat="1"/>
    <xf numFmtId="0" fontId="1" fillId="26" borderId="8" xfId="0" applyFont="1" applyFill="1" applyBorder="1" applyAlignment="1">
      <alignment horizontal="center"/>
    </xf>
    <xf numFmtId="0" fontId="1" fillId="26" borderId="9" xfId="0" applyFont="1" applyFill="1" applyBorder="1" applyAlignment="1">
      <alignment horizontal="center"/>
    </xf>
    <xf numFmtId="0" fontId="1" fillId="26" borderId="10" xfId="0" applyFont="1" applyFill="1" applyBorder="1" applyAlignment="1">
      <alignment horizontal="center"/>
    </xf>
    <xf numFmtId="0" fontId="1" fillId="28" borderId="42" xfId="0" applyFont="1" applyFill="1" applyBorder="1" applyAlignment="1">
      <alignment horizontal="center"/>
    </xf>
    <xf numFmtId="0" fontId="1" fillId="28" borderId="4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22" borderId="8" xfId="0" applyFill="1" applyBorder="1" applyAlignment="1">
      <alignment horizontal="center"/>
    </xf>
    <xf numFmtId="0" fontId="0" fillId="22" borderId="9" xfId="0" applyFill="1" applyBorder="1" applyAlignment="1">
      <alignment horizontal="center"/>
    </xf>
    <xf numFmtId="0" fontId="0" fillId="22" borderId="10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hn's%20Scratch\excel\newparam-v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lti-craft.local\Springdale\Public\JobManage\_Jobs\Simmons\Benton%20County%20Facility\2019\BCF%202nd%20Processing%20Equipment\Conveyors\Cope%20Discharge%20Conveyors\LQ006-LQ007_LQ008\LQ006-LQ007-LQ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R PARAMETERS"/>
      <sheetName val="CONVEYOR REFERENCE"/>
      <sheetName val="TightTransfer"/>
      <sheetName val="RadiusBreakdown"/>
    </sheetNames>
    <sheetDataSet>
      <sheetData sheetId="0"/>
      <sheetData sheetId="1">
        <row r="2">
          <cell r="A2" t="str">
            <v>Straight</v>
          </cell>
        </row>
        <row r="3">
          <cell r="A3" t="str">
            <v>Radius</v>
          </cell>
        </row>
        <row r="4">
          <cell r="A4" t="str">
            <v>Offset</v>
          </cell>
        </row>
        <row r="5">
          <cell r="A5" t="str">
            <v>Incline</v>
          </cell>
        </row>
        <row r="6">
          <cell r="A6" t="str">
            <v>Decline</v>
          </cell>
        </row>
        <row r="7">
          <cell r="A7" t="str">
            <v>Incline/Decline</v>
          </cell>
        </row>
        <row r="8">
          <cell r="A8" t="str">
            <v>Radius Incline</v>
          </cell>
        </row>
        <row r="9">
          <cell r="A9" t="str">
            <v>Radius Decline</v>
          </cell>
        </row>
        <row r="10">
          <cell r="A10" t="str">
            <v>Offset Incline</v>
          </cell>
        </row>
        <row r="11">
          <cell r="A11" t="str">
            <v>Offset Decline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R PARAMETERS"/>
      <sheetName val="CONVEYOR REFERENCE"/>
      <sheetName val="BELT_DATA"/>
      <sheetName val="TightTransfer"/>
      <sheetName val="RadiusBreakdown"/>
    </sheetNames>
    <sheetDataSet>
      <sheetData sheetId="0"/>
      <sheetData sheetId="1">
        <row r="3">
          <cell r="AA3">
            <v>1150</v>
          </cell>
        </row>
        <row r="4">
          <cell r="AA4">
            <v>1750</v>
          </cell>
        </row>
        <row r="5">
          <cell r="AA5">
            <v>3600</v>
          </cell>
        </row>
        <row r="7">
          <cell r="Y7">
            <v>5</v>
          </cell>
        </row>
        <row r="8">
          <cell r="Y8">
            <v>7.5</v>
          </cell>
        </row>
        <row r="9">
          <cell r="Y9">
            <v>10</v>
          </cell>
        </row>
        <row r="10">
          <cell r="Y10">
            <v>12.5</v>
          </cell>
        </row>
        <row r="11">
          <cell r="Y11">
            <v>15</v>
          </cell>
        </row>
        <row r="12">
          <cell r="Y12">
            <v>20</v>
          </cell>
        </row>
        <row r="13">
          <cell r="Y13">
            <v>25</v>
          </cell>
        </row>
        <row r="14">
          <cell r="B14" t="str">
            <v>Standard</v>
          </cell>
          <cell r="Y14">
            <v>30</v>
          </cell>
        </row>
        <row r="15">
          <cell r="B15" t="str">
            <v>TightTransfer</v>
          </cell>
          <cell r="Y15">
            <v>40</v>
          </cell>
        </row>
        <row r="16">
          <cell r="Y16">
            <v>50</v>
          </cell>
        </row>
        <row r="17">
          <cell r="Y17">
            <v>60</v>
          </cell>
        </row>
        <row r="18">
          <cell r="Y18">
            <v>80</v>
          </cell>
        </row>
        <row r="19">
          <cell r="Y19">
            <v>100</v>
          </cell>
        </row>
        <row r="20">
          <cell r="A20">
            <v>16</v>
          </cell>
          <cell r="B20">
            <v>5.9499999999999997E-2</v>
          </cell>
          <cell r="C20">
            <v>0.15</v>
          </cell>
        </row>
        <row r="21">
          <cell r="A21">
            <v>14</v>
          </cell>
          <cell r="B21">
            <v>7.51E-2</v>
          </cell>
          <cell r="C21">
            <v>0.15</v>
          </cell>
        </row>
        <row r="22">
          <cell r="A22">
            <v>12</v>
          </cell>
          <cell r="B22">
            <v>0.10539999999999999</v>
          </cell>
          <cell r="C22">
            <v>0.14000000000000001</v>
          </cell>
        </row>
        <row r="23">
          <cell r="A23">
            <v>11</v>
          </cell>
          <cell r="B23">
            <v>0.12</v>
          </cell>
          <cell r="C23">
            <v>0.22</v>
          </cell>
        </row>
        <row r="24">
          <cell r="A24">
            <v>10</v>
          </cell>
          <cell r="B24">
            <v>0.13450000000000001</v>
          </cell>
          <cell r="C24">
            <v>0.22</v>
          </cell>
          <cell r="Z24" t="str">
            <v>TUBE</v>
          </cell>
          <cell r="AA24" t="str">
            <v>STRAIGHT</v>
          </cell>
          <cell r="AB24">
            <v>1.5</v>
          </cell>
        </row>
        <row r="25">
          <cell r="A25">
            <v>7</v>
          </cell>
          <cell r="B25">
            <v>0.18740000000000001</v>
          </cell>
          <cell r="C25">
            <v>0.23</v>
          </cell>
          <cell r="Z25" t="str">
            <v>ANGLE</v>
          </cell>
          <cell r="AA25" t="str">
            <v>FLARED</v>
          </cell>
          <cell r="AB25">
            <v>2</v>
          </cell>
        </row>
        <row r="26">
          <cell r="A26">
            <v>0.25</v>
          </cell>
          <cell r="B26">
            <v>0.25</v>
          </cell>
          <cell r="C26">
            <v>0.375</v>
          </cell>
        </row>
      </sheetData>
      <sheetData sheetId="2">
        <row r="4">
          <cell r="A4">
            <v>100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tabSelected="1" workbookViewId="0">
      <selection activeCell="B13" sqref="B13"/>
    </sheetView>
  </sheetViews>
  <sheetFormatPr defaultRowHeight="15" x14ac:dyDescent="0.25"/>
  <cols>
    <col min="1" max="1" width="16.5703125" bestFit="1" customWidth="1"/>
    <col min="2" max="2" width="9.140625" style="222"/>
    <col min="5" max="5" width="21.140625" bestFit="1" customWidth="1"/>
    <col min="6" max="6" width="37.5703125" bestFit="1" customWidth="1"/>
    <col min="9" max="9" width="15.7109375" bestFit="1" customWidth="1"/>
  </cols>
  <sheetData>
    <row r="1" spans="5:9" x14ac:dyDescent="0.25">
      <c r="E1" s="243" t="s">
        <v>270</v>
      </c>
      <c r="F1" s="244"/>
      <c r="G1" s="232"/>
      <c r="I1" t="s">
        <v>274</v>
      </c>
    </row>
    <row r="2" spans="5:9" x14ac:dyDescent="0.25">
      <c r="E2" s="233" t="s">
        <v>275</v>
      </c>
      <c r="F2" s="234">
        <v>800</v>
      </c>
      <c r="I2" t="s">
        <v>262</v>
      </c>
    </row>
    <row r="3" spans="5:9" x14ac:dyDescent="0.25">
      <c r="E3" s="233" t="s">
        <v>276</v>
      </c>
      <c r="F3" s="234" t="s">
        <v>101</v>
      </c>
      <c r="I3" t="s">
        <v>263</v>
      </c>
    </row>
    <row r="4" spans="5:9" x14ac:dyDescent="0.25">
      <c r="E4" s="233" t="s">
        <v>277</v>
      </c>
      <c r="F4" s="234" t="str">
        <f ca="1">VLOOKUP(F3,INDIRECT("Style_Name"),2,FALSE)</f>
        <v>OPEN HINGE FLAT TOP</v>
      </c>
      <c r="I4" t="s">
        <v>264</v>
      </c>
    </row>
    <row r="5" spans="5:9" x14ac:dyDescent="0.25">
      <c r="E5" s="233" t="s">
        <v>278</v>
      </c>
      <c r="F5" s="235">
        <f ca="1">VLOOKUP(F3,INDIRECT("B_"&amp;F2),6, FALSE)</f>
        <v>0.625</v>
      </c>
      <c r="I5" t="s">
        <v>278</v>
      </c>
    </row>
    <row r="6" spans="5:9" x14ac:dyDescent="0.25">
      <c r="E6" s="233" t="s">
        <v>285</v>
      </c>
      <c r="F6" s="236">
        <f ca="1">VLOOKUP(F3,INDIRECT("B_"&amp;F2),2, FALSE)</f>
        <v>2</v>
      </c>
      <c r="I6" t="s">
        <v>265</v>
      </c>
    </row>
    <row r="7" spans="5:9" x14ac:dyDescent="0.25">
      <c r="E7" s="233" t="s">
        <v>284</v>
      </c>
      <c r="F7" s="236">
        <f ca="1">VLOOKUP(F3,INDIRECT("B_"&amp;F2),8, FALSE)</f>
        <v>0.3125</v>
      </c>
      <c r="I7" t="s">
        <v>279</v>
      </c>
    </row>
    <row r="8" spans="5:9" x14ac:dyDescent="0.25">
      <c r="E8" s="233" t="s">
        <v>281</v>
      </c>
      <c r="F8" s="236">
        <f ca="1">VLOOKUP(F3,INDIRECT("B_"&amp;F2),11, FALSE)</f>
        <v>6</v>
      </c>
      <c r="I8" t="s">
        <v>280</v>
      </c>
    </row>
    <row r="9" spans="5:9" ht="15.75" thickBot="1" x14ac:dyDescent="0.3">
      <c r="E9" s="237" t="s">
        <v>282</v>
      </c>
      <c r="F9" s="238">
        <f ca="1">VLOOKUP(F3,INDIRECT("B_"&amp;F2),12, FALSE)</f>
        <v>0.66</v>
      </c>
      <c r="I9" t="s">
        <v>283</v>
      </c>
    </row>
    <row r="15" spans="5:9" ht="15.75" thickBot="1" x14ac:dyDescent="0.3"/>
    <row r="16" spans="5:9" ht="15.75" thickBot="1" x14ac:dyDescent="0.3">
      <c r="E16" s="240" t="s">
        <v>266</v>
      </c>
      <c r="F16" s="241"/>
      <c r="G16" s="242"/>
    </row>
    <row r="17" spans="5:9" ht="15.75" thickBot="1" x14ac:dyDescent="0.3">
      <c r="E17" s="223" t="s">
        <v>267</v>
      </c>
      <c r="F17" s="226">
        <v>5.2</v>
      </c>
      <c r="G17" s="229" t="s">
        <v>245</v>
      </c>
      <c r="I17" t="s">
        <v>271</v>
      </c>
    </row>
    <row r="18" spans="5:9" x14ac:dyDescent="0.25">
      <c r="E18" s="224" t="s">
        <v>268</v>
      </c>
      <c r="F18" s="227">
        <f ca="1">VLOOKUP(F17,(INDIRECT(("SPR_"&amp;$F$2))),2,FALSE)</f>
        <v>8</v>
      </c>
      <c r="G18" s="230" t="s">
        <v>269</v>
      </c>
      <c r="I18" t="s">
        <v>272</v>
      </c>
    </row>
    <row r="19" spans="5:9" ht="15.75" thickBot="1" x14ac:dyDescent="0.3">
      <c r="E19" s="225" t="s">
        <v>260</v>
      </c>
      <c r="F19" s="228">
        <f ca="1">VLOOKUP(F17,(INDIRECT(("SPR_"&amp;$F$2))),3,FALSE)</f>
        <v>2.2834645669291338</v>
      </c>
      <c r="G19" s="231" t="s">
        <v>245</v>
      </c>
      <c r="I19" t="s">
        <v>273</v>
      </c>
    </row>
    <row r="23" spans="5:9" x14ac:dyDescent="0.25">
      <c r="F23" s="239"/>
    </row>
  </sheetData>
  <mergeCells count="2">
    <mergeCell ref="E16:G16"/>
    <mergeCell ref="E1:F1"/>
  </mergeCells>
  <pageMargins left="0.7" right="0.7" top="0.75" bottom="0.75" header="0.3" footer="0.3"/>
  <pageSetup paperSize="45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8"/>
  <sheetViews>
    <sheetView workbookViewId="0">
      <pane ySplit="3" topLeftCell="A79" activePane="bottomLeft" state="frozen"/>
      <selection pane="bottomLeft" activeCell="N101" sqref="N101"/>
    </sheetView>
  </sheetViews>
  <sheetFormatPr defaultRowHeight="15" x14ac:dyDescent="0.25"/>
  <cols>
    <col min="1" max="1" width="9.5703125" style="2" bestFit="1" customWidth="1"/>
    <col min="2" max="2" width="9.140625" style="2"/>
    <col min="3" max="3" width="13.5703125" style="2" bestFit="1" customWidth="1"/>
    <col min="4" max="4" width="9.140625" style="2"/>
    <col min="5" max="5" width="9.42578125" style="2" bestFit="1" customWidth="1"/>
    <col min="6" max="6" width="13.5703125" style="2" bestFit="1" customWidth="1"/>
    <col min="7" max="7" width="15.28515625" style="2" bestFit="1" customWidth="1"/>
    <col min="8" max="8" width="15.28515625" style="2" customWidth="1"/>
    <col min="9" max="10" width="9.140625" style="2"/>
    <col min="11" max="11" width="9" style="2" bestFit="1" customWidth="1"/>
    <col min="12" max="12" width="14" style="2" bestFit="1" customWidth="1"/>
    <col min="13" max="14" width="12.85546875" style="147" bestFit="1" customWidth="1"/>
    <col min="15" max="15" width="9.140625" style="1"/>
    <col min="16" max="16" width="13.5703125" style="1" bestFit="1" customWidth="1"/>
    <col min="17" max="17" width="65.140625" style="1" bestFit="1" customWidth="1"/>
    <col min="18" max="18" width="9.140625" style="1"/>
    <col min="19" max="19" width="53.5703125" style="1" bestFit="1" customWidth="1"/>
    <col min="20" max="16384" width="9.140625" style="1"/>
  </cols>
  <sheetData>
    <row r="1" spans="1:21" x14ac:dyDescent="0.25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21" x14ac:dyDescent="0.25">
      <c r="A2" s="245" t="s">
        <v>1</v>
      </c>
      <c r="B2" s="245"/>
      <c r="C2" s="245"/>
      <c r="D2" s="245" t="s">
        <v>2</v>
      </c>
      <c r="E2" s="245"/>
      <c r="F2" s="245"/>
      <c r="G2" s="245"/>
      <c r="H2" s="245" t="s">
        <v>3</v>
      </c>
      <c r="I2" s="245"/>
      <c r="J2" s="245"/>
      <c r="K2" s="245"/>
      <c r="L2" s="245"/>
      <c r="M2" s="245"/>
      <c r="N2" s="245"/>
      <c r="P2" s="246" t="s">
        <v>4</v>
      </c>
      <c r="Q2" s="246"/>
    </row>
    <row r="3" spans="1:21" x14ac:dyDescent="0.25">
      <c r="A3" s="2" t="s">
        <v>5</v>
      </c>
      <c r="B3" s="203" t="s">
        <v>6</v>
      </c>
      <c r="C3" s="203" t="s">
        <v>7</v>
      </c>
      <c r="D3" s="203" t="s">
        <v>257</v>
      </c>
      <c r="E3" s="203" t="s">
        <v>8</v>
      </c>
      <c r="F3" s="203" t="s">
        <v>9</v>
      </c>
      <c r="G3" s="203" t="s">
        <v>10</v>
      </c>
      <c r="H3" s="203" t="s">
        <v>11</v>
      </c>
      <c r="I3" s="203" t="s">
        <v>12</v>
      </c>
      <c r="J3" s="203" t="s">
        <v>13</v>
      </c>
      <c r="K3" s="203" t="s">
        <v>14</v>
      </c>
      <c r="L3" s="203" t="s">
        <v>15</v>
      </c>
      <c r="M3" s="196" t="s">
        <v>248</v>
      </c>
      <c r="N3" s="196" t="s">
        <v>247</v>
      </c>
      <c r="P3" s="3" t="s">
        <v>16</v>
      </c>
      <c r="Q3" s="3" t="s">
        <v>17</v>
      </c>
      <c r="S3" s="2" t="s">
        <v>18</v>
      </c>
      <c r="U3" s="1" t="s">
        <v>19</v>
      </c>
    </row>
    <row r="4" spans="1:21" x14ac:dyDescent="0.25">
      <c r="A4" s="2" t="s">
        <v>20</v>
      </c>
      <c r="B4" s="197" t="s">
        <v>21</v>
      </c>
      <c r="C4" s="198" t="s">
        <v>22</v>
      </c>
      <c r="D4" s="199">
        <v>1</v>
      </c>
      <c r="E4" s="200">
        <v>0.34399999999999997</v>
      </c>
      <c r="F4" s="200">
        <v>0.17199999999999999</v>
      </c>
      <c r="G4" s="200">
        <f t="shared" ref="G4:G67" si="0">E4-F4</f>
        <v>0.17199999999999999</v>
      </c>
      <c r="H4" s="200">
        <v>0.34399999999999997</v>
      </c>
      <c r="I4" s="200">
        <f>F4</f>
        <v>0.17199999999999999</v>
      </c>
      <c r="J4" s="200">
        <f t="shared" ref="J4:J67" si="1">H4-I4</f>
        <v>0.17199999999999999</v>
      </c>
      <c r="K4" s="200" t="s">
        <v>23</v>
      </c>
      <c r="L4" s="201" t="s">
        <v>23</v>
      </c>
      <c r="M4" s="202">
        <v>1.5</v>
      </c>
      <c r="N4" s="202">
        <v>0.25</v>
      </c>
      <c r="P4" s="4" t="s">
        <v>24</v>
      </c>
      <c r="Q4" s="4" t="s">
        <v>25</v>
      </c>
      <c r="S4" s="1" t="s">
        <v>26</v>
      </c>
      <c r="U4" s="1" t="s">
        <v>27</v>
      </c>
    </row>
    <row r="5" spans="1:21" x14ac:dyDescent="0.25">
      <c r="B5" s="5"/>
      <c r="C5" s="6" t="s">
        <v>28</v>
      </c>
      <c r="D5" s="7">
        <v>1</v>
      </c>
      <c r="E5" s="8">
        <v>0.34399999999999997</v>
      </c>
      <c r="F5" s="8">
        <v>0.17199999999999999</v>
      </c>
      <c r="G5" s="8">
        <f t="shared" si="0"/>
        <v>0.17199999999999999</v>
      </c>
      <c r="H5" s="8">
        <v>0.5625</v>
      </c>
      <c r="I5" s="8">
        <v>0.39100000000000001</v>
      </c>
      <c r="J5" s="8">
        <f t="shared" si="1"/>
        <v>0.17149999999999999</v>
      </c>
      <c r="K5" s="8">
        <v>6.25E-2</v>
      </c>
      <c r="L5" s="148">
        <v>0.125</v>
      </c>
      <c r="M5" s="149">
        <v>1.5</v>
      </c>
      <c r="N5" s="149">
        <v>0.25</v>
      </c>
      <c r="P5" s="4" t="s">
        <v>29</v>
      </c>
      <c r="Q5" s="4" t="s">
        <v>30</v>
      </c>
      <c r="S5" s="1" t="s">
        <v>31</v>
      </c>
      <c r="U5" s="1" t="s">
        <v>32</v>
      </c>
    </row>
    <row r="6" spans="1:21" x14ac:dyDescent="0.25">
      <c r="B6" s="9" t="s">
        <v>33</v>
      </c>
      <c r="C6" s="10" t="s">
        <v>34</v>
      </c>
      <c r="D6" s="11">
        <v>2</v>
      </c>
      <c r="E6" s="12">
        <v>0.625</v>
      </c>
      <c r="F6" s="12">
        <v>0.3125</v>
      </c>
      <c r="G6" s="12">
        <f t="shared" si="0"/>
        <v>0.3125</v>
      </c>
      <c r="H6" s="12">
        <v>0.625</v>
      </c>
      <c r="I6" s="12">
        <v>0.3125</v>
      </c>
      <c r="J6" s="12">
        <f t="shared" si="1"/>
        <v>0.3125</v>
      </c>
      <c r="K6" s="12" t="s">
        <v>23</v>
      </c>
      <c r="L6" s="150" t="s">
        <v>23</v>
      </c>
      <c r="M6" s="153">
        <v>2</v>
      </c>
      <c r="N6" s="153">
        <v>0.36</v>
      </c>
      <c r="P6" s="4" t="s">
        <v>35</v>
      </c>
      <c r="Q6" s="4" t="s">
        <v>36</v>
      </c>
      <c r="S6" s="1" t="s">
        <v>37</v>
      </c>
      <c r="U6" s="1" t="s">
        <v>38</v>
      </c>
    </row>
    <row r="7" spans="1:21" x14ac:dyDescent="0.25">
      <c r="B7" s="9"/>
      <c r="C7" s="10" t="s">
        <v>22</v>
      </c>
      <c r="D7" s="11">
        <v>2</v>
      </c>
      <c r="E7" s="12">
        <v>0.625</v>
      </c>
      <c r="F7" s="12">
        <v>0.3125</v>
      </c>
      <c r="G7" s="12">
        <f t="shared" si="0"/>
        <v>0.3125</v>
      </c>
      <c r="H7" s="12">
        <v>0.625</v>
      </c>
      <c r="I7" s="12">
        <v>0.3125</v>
      </c>
      <c r="J7" s="12">
        <f t="shared" si="1"/>
        <v>0.3125</v>
      </c>
      <c r="K7" s="12" t="s">
        <v>23</v>
      </c>
      <c r="L7" s="150" t="s">
        <v>23</v>
      </c>
      <c r="M7" s="153">
        <v>2</v>
      </c>
      <c r="N7" s="153">
        <v>0.36</v>
      </c>
      <c r="P7" s="4" t="s">
        <v>39</v>
      </c>
      <c r="Q7" s="4" t="s">
        <v>40</v>
      </c>
      <c r="S7" s="1" t="s">
        <v>41</v>
      </c>
      <c r="U7" s="1" t="s">
        <v>42</v>
      </c>
    </row>
    <row r="8" spans="1:21" x14ac:dyDescent="0.25">
      <c r="B8" s="9"/>
      <c r="C8" s="10" t="s">
        <v>43</v>
      </c>
      <c r="D8" s="11">
        <v>2</v>
      </c>
      <c r="E8" s="12">
        <v>0.625</v>
      </c>
      <c r="F8" s="12">
        <v>0.3125</v>
      </c>
      <c r="G8" s="12">
        <f t="shared" si="0"/>
        <v>0.3125</v>
      </c>
      <c r="H8" s="12">
        <v>0.625</v>
      </c>
      <c r="I8" s="12">
        <v>0.3125</v>
      </c>
      <c r="J8" s="12">
        <f t="shared" si="1"/>
        <v>0.3125</v>
      </c>
      <c r="K8" s="12" t="s">
        <v>23</v>
      </c>
      <c r="L8" s="150" t="s">
        <v>23</v>
      </c>
      <c r="M8" s="153">
        <v>2</v>
      </c>
      <c r="N8" s="153">
        <v>0.36</v>
      </c>
      <c r="P8" s="4" t="s">
        <v>44</v>
      </c>
      <c r="Q8" s="4" t="s">
        <v>45</v>
      </c>
      <c r="S8" s="1" t="s">
        <v>46</v>
      </c>
      <c r="U8" s="1" t="s">
        <v>47</v>
      </c>
    </row>
    <row r="9" spans="1:21" x14ac:dyDescent="0.25">
      <c r="B9" s="13" t="s">
        <v>48</v>
      </c>
      <c r="C9" s="14" t="s">
        <v>22</v>
      </c>
      <c r="D9" s="15">
        <v>2</v>
      </c>
      <c r="E9" s="16">
        <v>0.625</v>
      </c>
      <c r="F9" s="16">
        <v>0.3125</v>
      </c>
      <c r="G9" s="16">
        <f t="shared" si="0"/>
        <v>0.3125</v>
      </c>
      <c r="H9" s="16">
        <v>0.625</v>
      </c>
      <c r="I9" s="16">
        <v>0.3125</v>
      </c>
      <c r="J9" s="16">
        <f t="shared" si="1"/>
        <v>0.3125</v>
      </c>
      <c r="K9" s="16" t="s">
        <v>23</v>
      </c>
      <c r="L9" s="154" t="s">
        <v>23</v>
      </c>
      <c r="M9" s="152">
        <v>2</v>
      </c>
      <c r="N9" s="152">
        <v>0.33</v>
      </c>
      <c r="P9" s="4" t="s">
        <v>49</v>
      </c>
      <c r="Q9" s="4" t="s">
        <v>50</v>
      </c>
      <c r="S9" s="1" t="s">
        <v>51</v>
      </c>
      <c r="U9" s="1" t="s">
        <v>52</v>
      </c>
    </row>
    <row r="10" spans="1:21" x14ac:dyDescent="0.25">
      <c r="B10" s="13"/>
      <c r="C10" s="14" t="s">
        <v>28</v>
      </c>
      <c r="D10" s="15">
        <v>2</v>
      </c>
      <c r="E10" s="16">
        <v>0.625</v>
      </c>
      <c r="F10" s="16">
        <v>0.3125</v>
      </c>
      <c r="G10" s="16">
        <f t="shared" si="0"/>
        <v>0.3125</v>
      </c>
      <c r="H10" s="16">
        <v>0.875</v>
      </c>
      <c r="I10" s="16">
        <v>0.5625</v>
      </c>
      <c r="J10" s="16">
        <f t="shared" si="1"/>
        <v>0.3125</v>
      </c>
      <c r="K10" s="16" t="s">
        <v>23</v>
      </c>
      <c r="L10" s="154" t="s">
        <v>23</v>
      </c>
      <c r="M10" s="152" t="s">
        <v>249</v>
      </c>
      <c r="N10" s="152">
        <v>0.33</v>
      </c>
      <c r="P10" s="4" t="s">
        <v>53</v>
      </c>
      <c r="Q10" s="4" t="s">
        <v>50</v>
      </c>
      <c r="S10" s="1" t="s">
        <v>54</v>
      </c>
    </row>
    <row r="11" spans="1:21" x14ac:dyDescent="0.25">
      <c r="B11" s="13"/>
      <c r="C11" s="14" t="s">
        <v>43</v>
      </c>
      <c r="D11" s="15">
        <v>2</v>
      </c>
      <c r="E11" s="16">
        <v>0.625</v>
      </c>
      <c r="F11" s="16">
        <v>0.3125</v>
      </c>
      <c r="G11" s="16">
        <f t="shared" si="0"/>
        <v>0.3125</v>
      </c>
      <c r="H11" s="16">
        <v>0.625</v>
      </c>
      <c r="I11" s="16">
        <v>0.3125</v>
      </c>
      <c r="J11" s="16">
        <f t="shared" si="1"/>
        <v>0.3125</v>
      </c>
      <c r="K11" s="16" t="s">
        <v>23</v>
      </c>
      <c r="L11" s="154" t="s">
        <v>23</v>
      </c>
      <c r="M11" s="152">
        <v>2</v>
      </c>
      <c r="N11" s="152">
        <v>0.25</v>
      </c>
      <c r="P11" s="4" t="s">
        <v>55</v>
      </c>
      <c r="Q11" s="4" t="s">
        <v>56</v>
      </c>
      <c r="S11" s="1" t="s">
        <v>57</v>
      </c>
    </row>
    <row r="12" spans="1:21" x14ac:dyDescent="0.25">
      <c r="B12" s="13"/>
      <c r="C12" s="14" t="s">
        <v>58</v>
      </c>
      <c r="D12" s="15">
        <v>2</v>
      </c>
      <c r="E12" s="16">
        <v>0.625</v>
      </c>
      <c r="F12" s="16">
        <v>0.3125</v>
      </c>
      <c r="G12" s="16">
        <f t="shared" si="0"/>
        <v>0.3125</v>
      </c>
      <c r="H12" s="16">
        <v>0.625</v>
      </c>
      <c r="I12" s="16">
        <v>0.3125</v>
      </c>
      <c r="J12" s="16">
        <f t="shared" si="1"/>
        <v>0.3125</v>
      </c>
      <c r="K12" s="16" t="s">
        <v>23</v>
      </c>
      <c r="L12" s="154" t="s">
        <v>23</v>
      </c>
      <c r="M12" s="152">
        <v>2</v>
      </c>
      <c r="N12" s="152">
        <v>0.33</v>
      </c>
      <c r="P12" s="4" t="s">
        <v>59</v>
      </c>
      <c r="Q12" s="4" t="s">
        <v>60</v>
      </c>
      <c r="S12" s="1" t="s">
        <v>61</v>
      </c>
    </row>
    <row r="13" spans="1:21" x14ac:dyDescent="0.25">
      <c r="B13" s="13"/>
      <c r="C13" s="14" t="s">
        <v>62</v>
      </c>
      <c r="D13" s="15">
        <v>2</v>
      </c>
      <c r="E13" s="16">
        <v>0.625</v>
      </c>
      <c r="F13" s="16">
        <v>0.3125</v>
      </c>
      <c r="G13" s="16">
        <f t="shared" si="0"/>
        <v>0.3125</v>
      </c>
      <c r="H13" s="16">
        <f>0.625+0.085</f>
        <v>0.71</v>
      </c>
      <c r="I13" s="16">
        <f>F13+0.085</f>
        <v>0.39750000000000002</v>
      </c>
      <c r="J13" s="16">
        <f t="shared" si="1"/>
        <v>0.31249999999999994</v>
      </c>
      <c r="K13" s="16" t="s">
        <v>23</v>
      </c>
      <c r="L13" s="154" t="s">
        <v>23</v>
      </c>
      <c r="M13" s="152">
        <v>2</v>
      </c>
      <c r="N13" s="152">
        <v>0.33</v>
      </c>
      <c r="P13" s="4" t="s">
        <v>63</v>
      </c>
      <c r="Q13" s="4" t="s">
        <v>64</v>
      </c>
      <c r="S13" s="1" t="s">
        <v>65</v>
      </c>
    </row>
    <row r="14" spans="1:21" x14ac:dyDescent="0.25">
      <c r="B14" s="13"/>
      <c r="C14" s="14" t="s">
        <v>66</v>
      </c>
      <c r="D14" s="15">
        <v>2</v>
      </c>
      <c r="E14" s="16">
        <v>0.625</v>
      </c>
      <c r="F14" s="16">
        <v>0.3125</v>
      </c>
      <c r="G14" s="16">
        <f t="shared" si="0"/>
        <v>0.3125</v>
      </c>
      <c r="H14" s="16">
        <f>E14+0.18</f>
        <v>0.80499999999999994</v>
      </c>
      <c r="I14" s="16">
        <f>F14+0.18</f>
        <v>0.49249999999999999</v>
      </c>
      <c r="J14" s="16">
        <f t="shared" si="1"/>
        <v>0.31249999999999994</v>
      </c>
      <c r="K14" s="15">
        <v>0.7</v>
      </c>
      <c r="L14" s="154">
        <v>0.82499999999999996</v>
      </c>
      <c r="M14" s="152">
        <v>6</v>
      </c>
      <c r="N14" s="152">
        <v>2</v>
      </c>
      <c r="P14" s="4" t="s">
        <v>287</v>
      </c>
      <c r="Q14" s="4" t="s">
        <v>67</v>
      </c>
      <c r="S14" s="1" t="s">
        <v>68</v>
      </c>
    </row>
    <row r="15" spans="1:21" x14ac:dyDescent="0.25">
      <c r="B15" s="13"/>
      <c r="C15" s="14" t="s">
        <v>69</v>
      </c>
      <c r="D15" s="15">
        <v>2</v>
      </c>
      <c r="E15" s="16">
        <v>0.625</v>
      </c>
      <c r="F15" s="16">
        <v>0.3125</v>
      </c>
      <c r="G15" s="16">
        <f t="shared" si="0"/>
        <v>0.3125</v>
      </c>
      <c r="H15" s="16">
        <f>E15+0.18</f>
        <v>0.80499999999999994</v>
      </c>
      <c r="I15" s="16">
        <f>F15+0.18</f>
        <v>0.49249999999999999</v>
      </c>
      <c r="J15" s="16">
        <f t="shared" si="1"/>
        <v>0.31249999999999994</v>
      </c>
      <c r="K15" s="15">
        <v>0.7</v>
      </c>
      <c r="L15" s="154">
        <v>0.82499999999999996</v>
      </c>
      <c r="M15" s="152">
        <v>6</v>
      </c>
      <c r="N15" s="152">
        <v>2</v>
      </c>
      <c r="P15" s="4" t="s">
        <v>250</v>
      </c>
      <c r="Q15" s="4" t="s">
        <v>70</v>
      </c>
      <c r="S15" s="1" t="s">
        <v>71</v>
      </c>
    </row>
    <row r="16" spans="1:21" x14ac:dyDescent="0.25">
      <c r="B16" s="13"/>
      <c r="C16" s="14" t="s">
        <v>24</v>
      </c>
      <c r="D16" s="15">
        <v>2</v>
      </c>
      <c r="E16" s="16">
        <v>0.625</v>
      </c>
      <c r="F16" s="16">
        <v>0.3125</v>
      </c>
      <c r="G16" s="16">
        <f t="shared" si="0"/>
        <v>0.3125</v>
      </c>
      <c r="H16" s="16">
        <f>E16+0.25</f>
        <v>0.875</v>
      </c>
      <c r="I16" s="16">
        <f>F16+0.25</f>
        <v>0.5625</v>
      </c>
      <c r="J16" s="16">
        <f t="shared" si="1"/>
        <v>0.3125</v>
      </c>
      <c r="K16" s="15">
        <v>0.85</v>
      </c>
      <c r="L16" s="154">
        <v>0.82499999999999996</v>
      </c>
      <c r="M16" s="152">
        <v>6</v>
      </c>
      <c r="N16" s="152">
        <v>2</v>
      </c>
      <c r="P16" s="4" t="s">
        <v>251</v>
      </c>
      <c r="Q16" s="4" t="s">
        <v>72</v>
      </c>
      <c r="S16" s="1" t="s">
        <v>73</v>
      </c>
    </row>
    <row r="17" spans="2:19" x14ac:dyDescent="0.25">
      <c r="B17" s="13"/>
      <c r="C17" s="14" t="s">
        <v>29</v>
      </c>
      <c r="D17" s="15">
        <v>2</v>
      </c>
      <c r="E17" s="16">
        <v>0.625</v>
      </c>
      <c r="F17" s="16">
        <v>0.3125</v>
      </c>
      <c r="G17" s="16">
        <f t="shared" si="0"/>
        <v>0.3125</v>
      </c>
      <c r="H17" s="16">
        <f>E17+0.25</f>
        <v>0.875</v>
      </c>
      <c r="I17" s="16">
        <f>F17+0.125</f>
        <v>0.4375</v>
      </c>
      <c r="J17" s="16">
        <f t="shared" si="1"/>
        <v>0.4375</v>
      </c>
      <c r="K17" s="16" t="s">
        <v>23</v>
      </c>
      <c r="L17" s="154"/>
      <c r="M17" s="152">
        <v>6</v>
      </c>
      <c r="N17" s="152">
        <v>2</v>
      </c>
      <c r="P17" s="4" t="s">
        <v>22</v>
      </c>
      <c r="Q17" s="4" t="s">
        <v>74</v>
      </c>
      <c r="S17" s="1" t="s">
        <v>75</v>
      </c>
    </row>
    <row r="18" spans="2:19" x14ac:dyDescent="0.25">
      <c r="B18" s="13"/>
      <c r="C18" s="14" t="s">
        <v>35</v>
      </c>
      <c r="D18" s="15">
        <v>2</v>
      </c>
      <c r="E18" s="16">
        <v>0.625</v>
      </c>
      <c r="F18" s="16">
        <v>0.3125</v>
      </c>
      <c r="G18" s="16">
        <f t="shared" si="0"/>
        <v>0.3125</v>
      </c>
      <c r="H18" s="16">
        <f>E18+0.25</f>
        <v>0.875</v>
      </c>
      <c r="I18" s="16">
        <f>F18+0.125</f>
        <v>0.4375</v>
      </c>
      <c r="J18" s="16">
        <f t="shared" si="1"/>
        <v>0.4375</v>
      </c>
      <c r="K18" s="16" t="s">
        <v>23</v>
      </c>
      <c r="L18" s="154"/>
      <c r="M18" s="152">
        <v>6</v>
      </c>
      <c r="N18" s="152">
        <v>2</v>
      </c>
      <c r="P18" s="4" t="s">
        <v>76</v>
      </c>
      <c r="Q18" s="4" t="s">
        <v>77</v>
      </c>
      <c r="S18" s="1" t="s">
        <v>78</v>
      </c>
    </row>
    <row r="19" spans="2:19" x14ac:dyDescent="0.25">
      <c r="B19" s="13"/>
      <c r="C19" s="14" t="s">
        <v>39</v>
      </c>
      <c r="D19" s="15">
        <v>2</v>
      </c>
      <c r="E19" s="16">
        <v>0.625</v>
      </c>
      <c r="F19" s="16">
        <v>0.3125</v>
      </c>
      <c r="G19" s="16">
        <f t="shared" si="0"/>
        <v>0.3125</v>
      </c>
      <c r="H19" s="16">
        <f>E19+0.25</f>
        <v>0.875</v>
      </c>
      <c r="I19" s="16">
        <f>F19+0.125</f>
        <v>0.4375</v>
      </c>
      <c r="J19" s="16">
        <f t="shared" si="1"/>
        <v>0.4375</v>
      </c>
      <c r="K19" s="16" t="s">
        <v>23</v>
      </c>
      <c r="L19" s="154"/>
      <c r="M19" s="152">
        <v>6</v>
      </c>
      <c r="N19" s="152">
        <v>2</v>
      </c>
      <c r="P19" s="4" t="s">
        <v>79</v>
      </c>
      <c r="Q19" s="4" t="s">
        <v>80</v>
      </c>
      <c r="S19" s="1" t="s">
        <v>81</v>
      </c>
    </row>
    <row r="20" spans="2:19" x14ac:dyDescent="0.25">
      <c r="B20" s="13"/>
      <c r="C20" s="14" t="s">
        <v>44</v>
      </c>
      <c r="D20" s="15">
        <v>2</v>
      </c>
      <c r="E20" s="16">
        <v>0.625</v>
      </c>
      <c r="F20" s="16">
        <v>0.3125</v>
      </c>
      <c r="G20" s="16">
        <f t="shared" si="0"/>
        <v>0.3125</v>
      </c>
      <c r="H20" s="16">
        <f>E20+0.25</f>
        <v>0.875</v>
      </c>
      <c r="I20" s="16">
        <f>F20+0.125</f>
        <v>0.4375</v>
      </c>
      <c r="J20" s="16">
        <f t="shared" si="1"/>
        <v>0.4375</v>
      </c>
      <c r="K20" s="16" t="s">
        <v>23</v>
      </c>
      <c r="L20" s="154"/>
      <c r="M20" s="152">
        <v>6</v>
      </c>
      <c r="N20" s="152">
        <v>2</v>
      </c>
      <c r="P20" s="4" t="s">
        <v>82</v>
      </c>
      <c r="Q20" s="4" t="s">
        <v>83</v>
      </c>
      <c r="S20" s="1" t="s">
        <v>84</v>
      </c>
    </row>
    <row r="21" spans="2:19" x14ac:dyDescent="0.25">
      <c r="B21" s="13"/>
      <c r="C21" s="14" t="s">
        <v>49</v>
      </c>
      <c r="D21" s="15">
        <v>2</v>
      </c>
      <c r="E21" s="16">
        <v>0.625</v>
      </c>
      <c r="F21" s="16">
        <v>0.3125</v>
      </c>
      <c r="G21" s="16">
        <f t="shared" si="0"/>
        <v>0.3125</v>
      </c>
      <c r="H21" s="16">
        <f>E21+0.25</f>
        <v>0.875</v>
      </c>
      <c r="I21" s="16">
        <f>F21+0.125</f>
        <v>0.4375</v>
      </c>
      <c r="J21" s="16">
        <f t="shared" si="1"/>
        <v>0.4375</v>
      </c>
      <c r="K21" s="16" t="s">
        <v>23</v>
      </c>
      <c r="L21" s="154"/>
      <c r="M21" s="152">
        <v>6</v>
      </c>
      <c r="N21" s="152">
        <v>2</v>
      </c>
      <c r="P21" s="4" t="s">
        <v>85</v>
      </c>
      <c r="Q21" s="4" t="s">
        <v>86</v>
      </c>
      <c r="S21" s="1" t="s">
        <v>87</v>
      </c>
    </row>
    <row r="22" spans="2:19" x14ac:dyDescent="0.25">
      <c r="B22" s="13"/>
      <c r="C22" s="14" t="s">
        <v>53</v>
      </c>
      <c r="D22" s="15">
        <v>2</v>
      </c>
      <c r="E22" s="16">
        <v>0.625</v>
      </c>
      <c r="F22" s="16">
        <v>0.3125</v>
      </c>
      <c r="G22" s="16">
        <f t="shared" si="0"/>
        <v>0.3125</v>
      </c>
      <c r="H22" s="16">
        <f>E22+0.08*2</f>
        <v>0.78500000000000003</v>
      </c>
      <c r="I22" s="16">
        <f>F22+0.08</f>
        <v>0.39250000000000002</v>
      </c>
      <c r="J22" s="16">
        <f t="shared" si="1"/>
        <v>0.39250000000000002</v>
      </c>
      <c r="K22" s="16" t="s">
        <v>23</v>
      </c>
      <c r="L22" s="154"/>
      <c r="M22" s="152">
        <v>6</v>
      </c>
      <c r="N22" s="152">
        <v>2</v>
      </c>
      <c r="P22" s="4" t="s">
        <v>88</v>
      </c>
      <c r="Q22" s="4" t="s">
        <v>89</v>
      </c>
      <c r="S22" s="1" t="s">
        <v>90</v>
      </c>
    </row>
    <row r="23" spans="2:19" x14ac:dyDescent="0.25">
      <c r="B23" s="13"/>
      <c r="C23" s="14" t="s">
        <v>55</v>
      </c>
      <c r="D23" s="15">
        <v>2</v>
      </c>
      <c r="E23" s="16">
        <v>0.625</v>
      </c>
      <c r="F23" s="16">
        <v>0.3125</v>
      </c>
      <c r="G23" s="16">
        <f t="shared" si="0"/>
        <v>0.3125</v>
      </c>
      <c r="H23" s="16">
        <f>E23+0.1875*2</f>
        <v>1</v>
      </c>
      <c r="I23" s="16">
        <f>F23+0.1875</f>
        <v>0.5</v>
      </c>
      <c r="J23" s="16">
        <f t="shared" si="1"/>
        <v>0.5</v>
      </c>
      <c r="K23" s="15">
        <v>1</v>
      </c>
      <c r="L23" s="155">
        <v>1</v>
      </c>
      <c r="M23" s="152">
        <v>10</v>
      </c>
      <c r="N23" s="152">
        <v>2</v>
      </c>
      <c r="P23" s="4" t="s">
        <v>91</v>
      </c>
      <c r="Q23" s="4" t="s">
        <v>92</v>
      </c>
      <c r="S23" s="1" t="s">
        <v>93</v>
      </c>
    </row>
    <row r="24" spans="2:19" x14ac:dyDescent="0.25">
      <c r="B24" s="17" t="s">
        <v>94</v>
      </c>
      <c r="C24" s="18" t="s">
        <v>95</v>
      </c>
      <c r="D24" s="19">
        <v>0.315</v>
      </c>
      <c r="E24" s="19">
        <v>0.22500000000000001</v>
      </c>
      <c r="F24" s="19">
        <v>0.1125</v>
      </c>
      <c r="G24" s="19">
        <f t="shared" si="0"/>
        <v>0.1125</v>
      </c>
      <c r="H24" s="19">
        <v>0.22500000000000001</v>
      </c>
      <c r="I24" s="19">
        <v>0.113</v>
      </c>
      <c r="J24" s="19">
        <f t="shared" si="1"/>
        <v>0.112</v>
      </c>
      <c r="K24" s="19" t="s">
        <v>23</v>
      </c>
      <c r="L24" s="156"/>
      <c r="M24" s="158">
        <v>8</v>
      </c>
      <c r="N24" s="158">
        <v>1</v>
      </c>
      <c r="P24" s="4" t="s">
        <v>58</v>
      </c>
      <c r="Q24" s="4" t="s">
        <v>96</v>
      </c>
      <c r="S24" s="1" t="s">
        <v>97</v>
      </c>
    </row>
    <row r="25" spans="2:19" x14ac:dyDescent="0.25">
      <c r="B25" s="20" t="s">
        <v>98</v>
      </c>
      <c r="C25" s="21" t="s">
        <v>58</v>
      </c>
      <c r="D25" s="22">
        <v>2</v>
      </c>
      <c r="E25" s="23">
        <v>0.625</v>
      </c>
      <c r="F25" s="23">
        <v>0.3125</v>
      </c>
      <c r="G25" s="23">
        <f t="shared" si="0"/>
        <v>0.3125</v>
      </c>
      <c r="H25" s="23">
        <v>0.625</v>
      </c>
      <c r="I25" s="23">
        <v>0.3125</v>
      </c>
      <c r="J25" s="23">
        <f t="shared" si="1"/>
        <v>0.3125</v>
      </c>
      <c r="K25" s="23" t="s">
        <v>23</v>
      </c>
      <c r="L25" s="159"/>
      <c r="M25" s="149">
        <v>2</v>
      </c>
      <c r="N25" s="149">
        <v>0.66</v>
      </c>
      <c r="P25" s="4" t="s">
        <v>99</v>
      </c>
      <c r="Q25" s="4" t="s">
        <v>100</v>
      </c>
    </row>
    <row r="26" spans="2:19" x14ac:dyDescent="0.25">
      <c r="B26" s="20"/>
      <c r="C26" s="21" t="s">
        <v>101</v>
      </c>
      <c r="D26" s="22">
        <v>2</v>
      </c>
      <c r="E26" s="23">
        <v>0.625</v>
      </c>
      <c r="F26" s="23">
        <v>0.3125</v>
      </c>
      <c r="G26" s="23">
        <f t="shared" si="0"/>
        <v>0.3125</v>
      </c>
      <c r="H26" s="23">
        <v>0.625</v>
      </c>
      <c r="I26" s="23">
        <v>0.3125</v>
      </c>
      <c r="J26" s="23">
        <f t="shared" si="1"/>
        <v>0.3125</v>
      </c>
      <c r="K26" s="23" t="s">
        <v>23</v>
      </c>
      <c r="L26" s="159"/>
      <c r="M26" s="149">
        <v>6</v>
      </c>
      <c r="N26" s="149">
        <v>0.66</v>
      </c>
      <c r="P26" s="4" t="s">
        <v>102</v>
      </c>
      <c r="Q26" s="4" t="s">
        <v>103</v>
      </c>
    </row>
    <row r="27" spans="2:19" x14ac:dyDescent="0.25">
      <c r="B27" s="20"/>
      <c r="C27" s="21" t="s">
        <v>104</v>
      </c>
      <c r="D27" s="22">
        <v>2</v>
      </c>
      <c r="E27" s="23">
        <v>0.625</v>
      </c>
      <c r="F27" s="23">
        <v>0.3125</v>
      </c>
      <c r="G27" s="23">
        <f t="shared" si="0"/>
        <v>0.3125</v>
      </c>
      <c r="H27" s="23">
        <v>0.625</v>
      </c>
      <c r="I27" s="23">
        <v>0.3125</v>
      </c>
      <c r="J27" s="23">
        <f t="shared" si="1"/>
        <v>0.3125</v>
      </c>
      <c r="K27" s="23" t="s">
        <v>23</v>
      </c>
      <c r="L27" s="159"/>
      <c r="M27" s="149">
        <v>6</v>
      </c>
      <c r="N27" s="149">
        <v>0.66</v>
      </c>
      <c r="P27" s="4" t="s">
        <v>105</v>
      </c>
      <c r="Q27" s="4" t="s">
        <v>106</v>
      </c>
    </row>
    <row r="28" spans="2:19" x14ac:dyDescent="0.25">
      <c r="B28" s="20"/>
      <c r="C28" s="21" t="s">
        <v>107</v>
      </c>
      <c r="D28" s="22">
        <v>2</v>
      </c>
      <c r="E28" s="23">
        <v>0.625</v>
      </c>
      <c r="F28" s="23">
        <v>0.3125</v>
      </c>
      <c r="G28" s="23">
        <f t="shared" si="0"/>
        <v>0.3125</v>
      </c>
      <c r="H28" s="23">
        <v>0.625</v>
      </c>
      <c r="I28" s="23">
        <v>0.3125</v>
      </c>
      <c r="J28" s="23">
        <f t="shared" si="1"/>
        <v>0.3125</v>
      </c>
      <c r="K28" s="23" t="s">
        <v>23</v>
      </c>
      <c r="L28" s="159"/>
      <c r="M28" s="149">
        <v>2</v>
      </c>
      <c r="N28" s="149">
        <v>0.66</v>
      </c>
      <c r="P28" s="4" t="s">
        <v>108</v>
      </c>
      <c r="Q28" s="4" t="s">
        <v>109</v>
      </c>
    </row>
    <row r="29" spans="2:19" x14ac:dyDescent="0.25">
      <c r="B29" s="20"/>
      <c r="C29" s="21" t="s">
        <v>110</v>
      </c>
      <c r="D29" s="22">
        <v>2</v>
      </c>
      <c r="E29" s="23">
        <v>0.625</v>
      </c>
      <c r="F29" s="23">
        <v>0.3125</v>
      </c>
      <c r="G29" s="23">
        <f t="shared" si="0"/>
        <v>0.3125</v>
      </c>
      <c r="H29" s="23">
        <v>0.625</v>
      </c>
      <c r="I29" s="23">
        <v>0.3125</v>
      </c>
      <c r="J29" s="23">
        <f t="shared" si="1"/>
        <v>0.3125</v>
      </c>
      <c r="K29" s="23" t="s">
        <v>23</v>
      </c>
      <c r="L29" s="159"/>
      <c r="M29" s="149">
        <v>2</v>
      </c>
      <c r="N29" s="149">
        <v>0.66</v>
      </c>
      <c r="P29" s="4" t="s">
        <v>111</v>
      </c>
      <c r="Q29" s="4" t="s">
        <v>112</v>
      </c>
    </row>
    <row r="30" spans="2:19" x14ac:dyDescent="0.25">
      <c r="B30" s="20"/>
      <c r="C30" s="21" t="s">
        <v>113</v>
      </c>
      <c r="D30" s="22">
        <v>2</v>
      </c>
      <c r="E30" s="23">
        <v>0.625</v>
      </c>
      <c r="F30" s="23">
        <v>0.3125</v>
      </c>
      <c r="G30" s="23">
        <f t="shared" si="0"/>
        <v>0.3125</v>
      </c>
      <c r="H30" s="23">
        <v>0.625</v>
      </c>
      <c r="I30" s="23">
        <v>0.3125</v>
      </c>
      <c r="J30" s="23">
        <f t="shared" si="1"/>
        <v>0.3125</v>
      </c>
      <c r="K30" s="23" t="s">
        <v>23</v>
      </c>
      <c r="L30" s="159"/>
      <c r="M30" s="149">
        <v>2</v>
      </c>
      <c r="N30" s="149">
        <v>0.66</v>
      </c>
      <c r="P30" s="4" t="s">
        <v>114</v>
      </c>
      <c r="Q30" s="4" t="s">
        <v>115</v>
      </c>
    </row>
    <row r="31" spans="2:19" x14ac:dyDescent="0.25">
      <c r="B31" s="20"/>
      <c r="C31" s="21" t="s">
        <v>22</v>
      </c>
      <c r="D31" s="22">
        <v>2</v>
      </c>
      <c r="E31" s="23">
        <v>0.625</v>
      </c>
      <c r="F31" s="23">
        <v>0.3125</v>
      </c>
      <c r="G31" s="23">
        <f t="shared" si="0"/>
        <v>0.3125</v>
      </c>
      <c r="H31" s="23">
        <v>0.625</v>
      </c>
      <c r="I31" s="23">
        <v>0.3125</v>
      </c>
      <c r="J31" s="23">
        <f t="shared" si="1"/>
        <v>0.3125</v>
      </c>
      <c r="K31" s="23" t="s">
        <v>23</v>
      </c>
      <c r="L31" s="159"/>
      <c r="M31" s="149">
        <v>4.5999999999999996</v>
      </c>
      <c r="N31" s="149">
        <v>0.66</v>
      </c>
      <c r="P31" s="4" t="s">
        <v>254</v>
      </c>
      <c r="Q31" s="4" t="s">
        <v>255</v>
      </c>
    </row>
    <row r="32" spans="2:19" x14ac:dyDescent="0.25">
      <c r="B32" s="20"/>
      <c r="C32" s="21" t="s">
        <v>118</v>
      </c>
      <c r="D32" s="22">
        <v>2</v>
      </c>
      <c r="E32" s="23">
        <v>0.625</v>
      </c>
      <c r="F32" s="23">
        <v>0.3125</v>
      </c>
      <c r="G32" s="23">
        <f t="shared" si="0"/>
        <v>0.3125</v>
      </c>
      <c r="H32" s="23">
        <v>0.625</v>
      </c>
      <c r="I32" s="23">
        <v>0.3125</v>
      </c>
      <c r="J32" s="23">
        <f t="shared" si="1"/>
        <v>0.3125</v>
      </c>
      <c r="K32" s="23" t="s">
        <v>23</v>
      </c>
      <c r="L32" s="159"/>
      <c r="M32" s="149">
        <v>2</v>
      </c>
      <c r="N32" s="149">
        <v>0.66</v>
      </c>
      <c r="P32" s="4" t="s">
        <v>116</v>
      </c>
      <c r="Q32" s="4" t="s">
        <v>117</v>
      </c>
    </row>
    <row r="33" spans="2:18" x14ac:dyDescent="0.25">
      <c r="B33" s="20"/>
      <c r="C33" s="21" t="s">
        <v>116</v>
      </c>
      <c r="D33" s="22">
        <v>2</v>
      </c>
      <c r="E33" s="23">
        <v>0.625</v>
      </c>
      <c r="F33" s="23">
        <v>0.3125</v>
      </c>
      <c r="G33" s="23">
        <f t="shared" si="0"/>
        <v>0.3125</v>
      </c>
      <c r="H33" s="23">
        <v>0.75</v>
      </c>
      <c r="I33" s="23">
        <v>0.4375</v>
      </c>
      <c r="J33" s="23">
        <f t="shared" si="1"/>
        <v>0.3125</v>
      </c>
      <c r="K33" s="23" t="s">
        <v>23</v>
      </c>
      <c r="L33" s="159"/>
      <c r="M33" s="149">
        <v>2</v>
      </c>
      <c r="N33" s="149">
        <v>0.66</v>
      </c>
      <c r="P33" s="4" t="s">
        <v>119</v>
      </c>
      <c r="Q33" s="4" t="s">
        <v>120</v>
      </c>
    </row>
    <row r="34" spans="2:18" x14ac:dyDescent="0.25">
      <c r="B34" s="20"/>
      <c r="C34" s="21" t="s">
        <v>123</v>
      </c>
      <c r="D34" s="22">
        <v>2</v>
      </c>
      <c r="E34" s="23">
        <v>0.625</v>
      </c>
      <c r="F34" s="23">
        <v>0.3125</v>
      </c>
      <c r="G34" s="23">
        <f t="shared" si="0"/>
        <v>0.3125</v>
      </c>
      <c r="H34" s="23">
        <v>0.72499999999999998</v>
      </c>
      <c r="I34" s="23">
        <v>0.41249999999999998</v>
      </c>
      <c r="J34" s="23">
        <f t="shared" si="1"/>
        <v>0.3125</v>
      </c>
      <c r="K34" s="23" t="s">
        <v>23</v>
      </c>
      <c r="L34" s="159"/>
      <c r="M34" s="149">
        <v>4</v>
      </c>
      <c r="N34" s="149">
        <v>0.66</v>
      </c>
      <c r="P34" s="4" t="s">
        <v>121</v>
      </c>
      <c r="Q34" s="4" t="s">
        <v>122</v>
      </c>
    </row>
    <row r="35" spans="2:18" x14ac:dyDescent="0.25">
      <c r="B35" s="20"/>
      <c r="C35" s="21" t="s">
        <v>91</v>
      </c>
      <c r="D35" s="22">
        <v>2</v>
      </c>
      <c r="E35" s="23">
        <v>0.625</v>
      </c>
      <c r="F35" s="23">
        <v>0.3125</v>
      </c>
      <c r="G35" s="23">
        <f t="shared" si="0"/>
        <v>0.3125</v>
      </c>
      <c r="H35" s="23">
        <v>0.72499999999999998</v>
      </c>
      <c r="I35" s="23">
        <v>0.41249999999999998</v>
      </c>
      <c r="J35" s="23">
        <f t="shared" si="1"/>
        <v>0.3125</v>
      </c>
      <c r="K35" s="23" t="s">
        <v>23</v>
      </c>
      <c r="L35" s="159"/>
      <c r="M35" s="149">
        <v>4.5999999999999996</v>
      </c>
      <c r="N35" s="149">
        <v>0.66</v>
      </c>
      <c r="P35" s="4" t="s">
        <v>118</v>
      </c>
      <c r="Q35" s="4" t="s">
        <v>124</v>
      </c>
    </row>
    <row r="36" spans="2:18" x14ac:dyDescent="0.25">
      <c r="B36" s="20"/>
      <c r="C36" s="21" t="s">
        <v>127</v>
      </c>
      <c r="D36" s="22">
        <v>2</v>
      </c>
      <c r="E36" s="23">
        <v>0.625</v>
      </c>
      <c r="F36" s="23">
        <v>0.3125</v>
      </c>
      <c r="G36" s="23">
        <f t="shared" si="0"/>
        <v>0.3125</v>
      </c>
      <c r="H36" s="23">
        <v>0.72499999999999998</v>
      </c>
      <c r="I36" s="23">
        <v>0.41249999999999998</v>
      </c>
      <c r="J36" s="23">
        <f t="shared" si="1"/>
        <v>0.3125</v>
      </c>
      <c r="K36" s="23" t="s">
        <v>23</v>
      </c>
      <c r="L36" s="159"/>
      <c r="M36" s="149">
        <v>6</v>
      </c>
      <c r="N36" s="149">
        <v>0.66</v>
      </c>
      <c r="P36" s="4" t="s">
        <v>125</v>
      </c>
      <c r="Q36" s="4" t="s">
        <v>126</v>
      </c>
    </row>
    <row r="37" spans="2:18" x14ac:dyDescent="0.25">
      <c r="B37" s="20"/>
      <c r="C37" s="21" t="s">
        <v>59</v>
      </c>
      <c r="D37" s="22">
        <v>2</v>
      </c>
      <c r="E37" s="23">
        <v>0.625</v>
      </c>
      <c r="F37" s="23">
        <v>0.3125</v>
      </c>
      <c r="G37" s="23">
        <f t="shared" si="0"/>
        <v>0.3125</v>
      </c>
      <c r="H37" s="23">
        <v>0.75</v>
      </c>
      <c r="I37" s="23">
        <v>0.4375</v>
      </c>
      <c r="J37" s="23">
        <f t="shared" si="1"/>
        <v>0.3125</v>
      </c>
      <c r="K37" s="23" t="s">
        <v>23</v>
      </c>
      <c r="L37" s="159"/>
      <c r="M37" s="149">
        <v>4</v>
      </c>
      <c r="N37" s="149">
        <v>0.66</v>
      </c>
      <c r="P37" s="4" t="s">
        <v>62</v>
      </c>
      <c r="Q37" s="4" t="s">
        <v>128</v>
      </c>
    </row>
    <row r="38" spans="2:18" x14ac:dyDescent="0.25">
      <c r="B38" s="20"/>
      <c r="C38" s="21" t="s">
        <v>131</v>
      </c>
      <c r="D38" s="22">
        <v>2</v>
      </c>
      <c r="E38" s="23">
        <v>0.625</v>
      </c>
      <c r="F38" s="23">
        <v>0.3125</v>
      </c>
      <c r="G38" s="23">
        <f t="shared" si="0"/>
        <v>0.3125</v>
      </c>
      <c r="H38" s="23">
        <v>0.75</v>
      </c>
      <c r="I38" s="23">
        <v>0.4375</v>
      </c>
      <c r="J38" s="23">
        <f t="shared" si="1"/>
        <v>0.3125</v>
      </c>
      <c r="K38" s="23" t="s">
        <v>23</v>
      </c>
      <c r="L38" s="159"/>
      <c r="M38" s="149">
        <v>6</v>
      </c>
      <c r="N38" s="149">
        <v>0.66</v>
      </c>
      <c r="P38" s="4" t="s">
        <v>129</v>
      </c>
      <c r="Q38" s="4" t="s">
        <v>130</v>
      </c>
    </row>
    <row r="39" spans="2:18" x14ac:dyDescent="0.25">
      <c r="B39" s="20"/>
      <c r="C39" s="21" t="s">
        <v>133</v>
      </c>
      <c r="D39" s="22">
        <v>2</v>
      </c>
      <c r="E39" s="23">
        <v>0.625</v>
      </c>
      <c r="F39" s="23">
        <v>0.3125</v>
      </c>
      <c r="G39" s="23">
        <f t="shared" si="0"/>
        <v>0.3125</v>
      </c>
      <c r="H39" s="23">
        <v>0.75</v>
      </c>
      <c r="I39" s="23">
        <v>0.4375</v>
      </c>
      <c r="J39" s="23">
        <f t="shared" si="1"/>
        <v>0.3125</v>
      </c>
      <c r="K39" s="23" t="s">
        <v>23</v>
      </c>
      <c r="L39" s="159"/>
      <c r="M39" s="149">
        <v>6</v>
      </c>
      <c r="N39" s="149">
        <v>0.66</v>
      </c>
      <c r="P39" s="4" t="s">
        <v>123</v>
      </c>
      <c r="Q39" s="4" t="s">
        <v>132</v>
      </c>
    </row>
    <row r="40" spans="2:18" x14ac:dyDescent="0.25">
      <c r="B40" s="20"/>
      <c r="C40" s="21" t="s">
        <v>28</v>
      </c>
      <c r="D40" s="22">
        <v>2</v>
      </c>
      <c r="E40" s="23">
        <v>0.625</v>
      </c>
      <c r="F40" s="23">
        <v>0.3125</v>
      </c>
      <c r="G40" s="23">
        <f t="shared" si="0"/>
        <v>0.3125</v>
      </c>
      <c r="H40" s="23">
        <v>0.9</v>
      </c>
      <c r="I40" s="23">
        <v>0.58750000000000002</v>
      </c>
      <c r="J40" s="23">
        <f t="shared" si="1"/>
        <v>0.3125</v>
      </c>
      <c r="K40" s="23" t="s">
        <v>23</v>
      </c>
      <c r="L40" s="159"/>
      <c r="M40" s="149">
        <v>14</v>
      </c>
      <c r="N40" s="149">
        <v>2</v>
      </c>
      <c r="P40" s="4" t="s">
        <v>159</v>
      </c>
      <c r="Q40" s="4" t="s">
        <v>258</v>
      </c>
    </row>
    <row r="41" spans="2:18" x14ac:dyDescent="0.25">
      <c r="B41" s="20"/>
      <c r="C41" s="21" t="s">
        <v>66</v>
      </c>
      <c r="D41" s="22">
        <v>2</v>
      </c>
      <c r="E41" s="23">
        <v>0.625</v>
      </c>
      <c r="F41" s="23">
        <v>0.3125</v>
      </c>
      <c r="G41" s="23">
        <f t="shared" si="0"/>
        <v>0.3125</v>
      </c>
      <c r="H41" s="23">
        <v>1.0625</v>
      </c>
      <c r="I41" s="23">
        <v>0.75</v>
      </c>
      <c r="J41" s="23">
        <f t="shared" si="1"/>
        <v>0.3125</v>
      </c>
      <c r="K41" s="23" t="s">
        <v>23</v>
      </c>
      <c r="L41" s="159"/>
      <c r="M41" s="149" t="s">
        <v>249</v>
      </c>
      <c r="N41" s="149" t="s">
        <v>249</v>
      </c>
      <c r="P41" s="4" t="s">
        <v>134</v>
      </c>
      <c r="Q41" s="4" t="s">
        <v>135</v>
      </c>
    </row>
    <row r="42" spans="2:18" x14ac:dyDescent="0.25">
      <c r="B42" s="20"/>
      <c r="C42" s="21" t="s">
        <v>138</v>
      </c>
      <c r="D42" s="22">
        <v>2</v>
      </c>
      <c r="E42" s="23">
        <v>0.625</v>
      </c>
      <c r="F42" s="23">
        <v>0.3125</v>
      </c>
      <c r="G42" s="23">
        <f t="shared" si="0"/>
        <v>0.3125</v>
      </c>
      <c r="H42" s="23">
        <f>0.625+0.15625</f>
        <v>0.78125</v>
      </c>
      <c r="I42" s="22">
        <v>0.46875</v>
      </c>
      <c r="J42" s="23">
        <f t="shared" si="1"/>
        <v>0.3125</v>
      </c>
      <c r="K42" s="23" t="s">
        <v>23</v>
      </c>
      <c r="L42" s="159"/>
      <c r="M42" s="149">
        <v>8</v>
      </c>
      <c r="N42" s="149">
        <v>0.66</v>
      </c>
      <c r="P42" s="4" t="s">
        <v>34</v>
      </c>
      <c r="Q42" s="4" t="s">
        <v>136</v>
      </c>
    </row>
    <row r="43" spans="2:18" x14ac:dyDescent="0.25">
      <c r="B43" s="24" t="s">
        <v>140</v>
      </c>
      <c r="C43" s="25" t="s">
        <v>141</v>
      </c>
      <c r="D43" s="26">
        <v>2</v>
      </c>
      <c r="E43" s="27">
        <v>0.625</v>
      </c>
      <c r="F43" s="27">
        <v>0.3125</v>
      </c>
      <c r="G43" s="27">
        <f t="shared" si="0"/>
        <v>0.3125</v>
      </c>
      <c r="H43" s="27">
        <v>0.625</v>
      </c>
      <c r="I43" s="27">
        <v>0.3125</v>
      </c>
      <c r="J43" s="27">
        <f t="shared" si="1"/>
        <v>0.3125</v>
      </c>
      <c r="K43" s="27" t="s">
        <v>23</v>
      </c>
      <c r="L43" s="160"/>
      <c r="M43" s="161">
        <v>6</v>
      </c>
      <c r="N43" s="161">
        <v>1</v>
      </c>
      <c r="P43" s="4" t="s">
        <v>43</v>
      </c>
      <c r="Q43" s="4" t="s">
        <v>137</v>
      </c>
    </row>
    <row r="44" spans="2:18" x14ac:dyDescent="0.25">
      <c r="B44" s="24"/>
      <c r="C44" s="25" t="s">
        <v>143</v>
      </c>
      <c r="D44" s="26">
        <v>2</v>
      </c>
      <c r="E44" s="27">
        <v>0.625</v>
      </c>
      <c r="F44" s="27">
        <v>0.3125</v>
      </c>
      <c r="G44" s="27">
        <f t="shared" si="0"/>
        <v>0.3125</v>
      </c>
      <c r="H44" s="27">
        <v>0.72499999999999998</v>
      </c>
      <c r="I44" s="27">
        <v>0.41249999999999998</v>
      </c>
      <c r="J44" s="27">
        <f t="shared" si="1"/>
        <v>0.3125</v>
      </c>
      <c r="K44" s="27" t="s">
        <v>23</v>
      </c>
      <c r="L44" s="160"/>
      <c r="M44" s="161">
        <v>6</v>
      </c>
      <c r="N44" s="161">
        <v>1</v>
      </c>
      <c r="P44" s="4" t="s">
        <v>131</v>
      </c>
      <c r="Q44" s="4" t="s">
        <v>139</v>
      </c>
    </row>
    <row r="45" spans="2:18" x14ac:dyDescent="0.25">
      <c r="B45" s="24"/>
      <c r="C45" s="25" t="s">
        <v>145</v>
      </c>
      <c r="D45" s="26">
        <v>2</v>
      </c>
      <c r="E45" s="27">
        <v>0.625</v>
      </c>
      <c r="F45" s="27">
        <v>0.3125</v>
      </c>
      <c r="G45" s="27">
        <f t="shared" si="0"/>
        <v>0.3125</v>
      </c>
      <c r="H45" s="27">
        <v>0.75</v>
      </c>
      <c r="I45" s="27">
        <v>0.4375</v>
      </c>
      <c r="J45" s="27">
        <f t="shared" si="1"/>
        <v>0.3125</v>
      </c>
      <c r="K45" s="27" t="s">
        <v>23</v>
      </c>
      <c r="L45" s="160"/>
      <c r="M45" s="161">
        <v>6</v>
      </c>
      <c r="N45" s="161">
        <v>1</v>
      </c>
      <c r="P45" s="4" t="s">
        <v>101</v>
      </c>
      <c r="Q45" s="4" t="s">
        <v>142</v>
      </c>
    </row>
    <row r="46" spans="2:18" x14ac:dyDescent="0.25">
      <c r="B46" s="13" t="s">
        <v>147</v>
      </c>
      <c r="C46" s="14" t="s">
        <v>119</v>
      </c>
      <c r="D46" s="15">
        <v>2</v>
      </c>
      <c r="E46" s="16">
        <v>0.625</v>
      </c>
      <c r="F46" s="16">
        <v>0.3125</v>
      </c>
      <c r="G46" s="16">
        <f t="shared" si="0"/>
        <v>0.3125</v>
      </c>
      <c r="H46" s="16">
        <v>0.625</v>
      </c>
      <c r="I46" s="16">
        <v>0.3125</v>
      </c>
      <c r="J46" s="16">
        <f t="shared" si="1"/>
        <v>0.3125</v>
      </c>
      <c r="K46" s="16" t="s">
        <v>23</v>
      </c>
      <c r="L46" s="154"/>
      <c r="M46" s="152">
        <v>6</v>
      </c>
      <c r="N46" s="152">
        <v>0.66</v>
      </c>
      <c r="P46" s="4" t="s">
        <v>223</v>
      </c>
      <c r="Q46" s="4" t="s">
        <v>286</v>
      </c>
    </row>
    <row r="47" spans="2:18" x14ac:dyDescent="0.25">
      <c r="B47" s="13"/>
      <c r="C47" s="14" t="s">
        <v>121</v>
      </c>
      <c r="D47" s="15">
        <v>2</v>
      </c>
      <c r="E47" s="16">
        <v>0.625</v>
      </c>
      <c r="F47" s="16">
        <v>0.3125</v>
      </c>
      <c r="G47" s="16">
        <f t="shared" si="0"/>
        <v>0.3125</v>
      </c>
      <c r="H47" s="16">
        <v>0.625</v>
      </c>
      <c r="I47" s="16">
        <v>0.3125</v>
      </c>
      <c r="J47" s="16">
        <f t="shared" si="1"/>
        <v>0.3125</v>
      </c>
      <c r="K47" s="16" t="s">
        <v>23</v>
      </c>
      <c r="L47" s="154"/>
      <c r="M47" s="152">
        <v>11.3</v>
      </c>
      <c r="N47" s="152">
        <v>0.66</v>
      </c>
      <c r="P47" s="4" t="s">
        <v>110</v>
      </c>
      <c r="Q47" s="4" t="s">
        <v>144</v>
      </c>
    </row>
    <row r="48" spans="2:18" x14ac:dyDescent="0.25">
      <c r="B48" s="13"/>
      <c r="C48" s="14" t="s">
        <v>114</v>
      </c>
      <c r="D48" s="15">
        <v>2</v>
      </c>
      <c r="E48" s="16">
        <v>0.625</v>
      </c>
      <c r="F48" s="16">
        <v>0.3125</v>
      </c>
      <c r="G48" s="16">
        <f t="shared" si="0"/>
        <v>0.3125</v>
      </c>
      <c r="H48" s="16">
        <v>0.625</v>
      </c>
      <c r="I48" s="16">
        <v>0.3125</v>
      </c>
      <c r="J48" s="16">
        <f t="shared" si="1"/>
        <v>0.3125</v>
      </c>
      <c r="K48" s="16" t="s">
        <v>23</v>
      </c>
      <c r="L48" s="154"/>
      <c r="M48" s="152">
        <v>16</v>
      </c>
      <c r="N48" s="152">
        <v>0.66</v>
      </c>
      <c r="P48" s="4" t="s">
        <v>113</v>
      </c>
      <c r="Q48" s="4" t="s">
        <v>146</v>
      </c>
      <c r="R48" s="111"/>
    </row>
    <row r="49" spans="2:17" x14ac:dyDescent="0.25">
      <c r="B49" s="13"/>
      <c r="C49" s="14" t="s">
        <v>153</v>
      </c>
      <c r="D49" s="15">
        <v>2</v>
      </c>
      <c r="E49" s="16">
        <v>0.625</v>
      </c>
      <c r="F49" s="16">
        <v>0.3125</v>
      </c>
      <c r="G49" s="16">
        <f t="shared" si="0"/>
        <v>0.3125</v>
      </c>
      <c r="H49" s="16">
        <v>0.625</v>
      </c>
      <c r="I49" s="16">
        <v>0.3125</v>
      </c>
      <c r="J49" s="16">
        <f t="shared" si="1"/>
        <v>0.3125</v>
      </c>
      <c r="K49" s="16" t="s">
        <v>23</v>
      </c>
      <c r="L49" s="154"/>
      <c r="M49" s="152">
        <v>6</v>
      </c>
      <c r="N49" s="152">
        <v>0.66</v>
      </c>
      <c r="P49" s="4" t="s">
        <v>138</v>
      </c>
      <c r="Q49" s="4" t="s">
        <v>148</v>
      </c>
    </row>
    <row r="50" spans="2:17" x14ac:dyDescent="0.25">
      <c r="B50" s="28" t="s">
        <v>155</v>
      </c>
      <c r="C50" s="29" t="s">
        <v>34</v>
      </c>
      <c r="D50" s="30">
        <v>1.07</v>
      </c>
      <c r="E50" s="31">
        <v>0.34399999999999997</v>
      </c>
      <c r="F50" s="31">
        <v>0.17199999999999999</v>
      </c>
      <c r="G50" s="31">
        <f t="shared" si="0"/>
        <v>0.17199999999999999</v>
      </c>
      <c r="H50" s="31">
        <v>0.53200000000000003</v>
      </c>
      <c r="I50" s="31">
        <v>0.36</v>
      </c>
      <c r="J50" s="31">
        <f t="shared" si="1"/>
        <v>0.17200000000000004</v>
      </c>
      <c r="K50" s="31" t="s">
        <v>23</v>
      </c>
      <c r="L50" s="163"/>
      <c r="M50" s="164">
        <v>2</v>
      </c>
      <c r="N50" s="164">
        <v>0.33</v>
      </c>
      <c r="P50" s="4" t="s">
        <v>149</v>
      </c>
      <c r="Q50" s="4" t="s">
        <v>150</v>
      </c>
    </row>
    <row r="51" spans="2:17" x14ac:dyDescent="0.25">
      <c r="B51" s="28"/>
      <c r="C51" s="29" t="s">
        <v>22</v>
      </c>
      <c r="D51" s="30">
        <v>1.07</v>
      </c>
      <c r="E51" s="31">
        <v>0.34399999999999997</v>
      </c>
      <c r="F51" s="31">
        <v>0.17199999999999999</v>
      </c>
      <c r="G51" s="31">
        <f t="shared" si="0"/>
        <v>0.17199999999999999</v>
      </c>
      <c r="H51" s="31">
        <v>0.34399999999999997</v>
      </c>
      <c r="I51" s="31">
        <v>0.17199999999999999</v>
      </c>
      <c r="J51" s="31">
        <f t="shared" si="1"/>
        <v>0.17199999999999999</v>
      </c>
      <c r="K51" s="31" t="s">
        <v>23</v>
      </c>
      <c r="L51" s="163"/>
      <c r="M51" s="164">
        <v>2</v>
      </c>
      <c r="N51" s="164">
        <v>0.33</v>
      </c>
      <c r="P51" s="4" t="s">
        <v>151</v>
      </c>
      <c r="Q51" s="4" t="s">
        <v>152</v>
      </c>
    </row>
    <row r="52" spans="2:17" x14ac:dyDescent="0.25">
      <c r="B52" s="28"/>
      <c r="C52" s="29" t="s">
        <v>159</v>
      </c>
      <c r="D52" s="30">
        <v>1.07</v>
      </c>
      <c r="E52" s="31">
        <v>0.34399999999999997</v>
      </c>
      <c r="F52" s="31">
        <v>0.17199999999999999</v>
      </c>
      <c r="G52" s="31">
        <f t="shared" si="0"/>
        <v>0.17199999999999999</v>
      </c>
      <c r="H52" s="31">
        <v>0.34399999999999997</v>
      </c>
      <c r="I52" s="31">
        <v>0.17199999999999999</v>
      </c>
      <c r="J52" s="31">
        <f t="shared" si="1"/>
        <v>0.17199999999999999</v>
      </c>
      <c r="K52" s="31" t="s">
        <v>23</v>
      </c>
      <c r="L52" s="163"/>
      <c r="M52" s="164">
        <v>10</v>
      </c>
      <c r="N52" s="164">
        <v>0.33</v>
      </c>
      <c r="P52" s="4" t="s">
        <v>28</v>
      </c>
      <c r="Q52" s="4" t="s">
        <v>154</v>
      </c>
    </row>
    <row r="53" spans="2:17" x14ac:dyDescent="0.25">
      <c r="B53" s="28"/>
      <c r="C53" s="29" t="s">
        <v>88</v>
      </c>
      <c r="D53" s="30">
        <v>1.07</v>
      </c>
      <c r="E53" s="31">
        <v>0.34399999999999997</v>
      </c>
      <c r="F53" s="31">
        <v>0.17199999999999999</v>
      </c>
      <c r="G53" s="31">
        <f t="shared" si="0"/>
        <v>0.17199999999999999</v>
      </c>
      <c r="H53" s="31">
        <v>0.34399999999999997</v>
      </c>
      <c r="I53" s="31">
        <v>0.17199999999999999</v>
      </c>
      <c r="J53" s="31">
        <f t="shared" si="1"/>
        <v>0.17199999999999999</v>
      </c>
      <c r="K53" s="31" t="s">
        <v>23</v>
      </c>
      <c r="L53" s="163"/>
      <c r="M53" s="164" t="s">
        <v>249</v>
      </c>
      <c r="N53" s="164" t="s">
        <v>249</v>
      </c>
      <c r="P53" s="4" t="s">
        <v>156</v>
      </c>
      <c r="Q53" s="4" t="s">
        <v>157</v>
      </c>
    </row>
    <row r="54" spans="2:17" x14ac:dyDescent="0.25">
      <c r="B54" s="28"/>
      <c r="C54" s="29" t="s">
        <v>28</v>
      </c>
      <c r="D54" s="30">
        <v>1.07</v>
      </c>
      <c r="E54" s="31">
        <v>0.34399999999999997</v>
      </c>
      <c r="F54" s="31">
        <v>0.17199999999999999</v>
      </c>
      <c r="G54" s="31">
        <f t="shared" si="0"/>
        <v>0.17199999999999999</v>
      </c>
      <c r="H54" s="31">
        <v>0.5625</v>
      </c>
      <c r="I54" s="31">
        <v>0.390625</v>
      </c>
      <c r="J54" s="31">
        <f t="shared" si="1"/>
        <v>0.171875</v>
      </c>
      <c r="K54" s="31" t="s">
        <v>23</v>
      </c>
      <c r="L54" s="163"/>
      <c r="M54" s="164">
        <v>4.7</v>
      </c>
      <c r="N54" s="164">
        <v>0.33</v>
      </c>
      <c r="P54" s="4" t="s">
        <v>66</v>
      </c>
      <c r="Q54" s="4" t="s">
        <v>158</v>
      </c>
    </row>
    <row r="55" spans="2:17" x14ac:dyDescent="0.25">
      <c r="B55" s="28"/>
      <c r="C55" s="29" t="s">
        <v>156</v>
      </c>
      <c r="D55" s="30">
        <v>1.07</v>
      </c>
      <c r="E55" s="31">
        <v>0.34399999999999997</v>
      </c>
      <c r="F55" s="31">
        <v>0.17199999999999999</v>
      </c>
      <c r="G55" s="31">
        <f t="shared" si="0"/>
        <v>0.17199999999999999</v>
      </c>
      <c r="H55" s="31">
        <v>0.5625</v>
      </c>
      <c r="I55" s="31">
        <v>0.390625</v>
      </c>
      <c r="J55" s="31">
        <f t="shared" si="1"/>
        <v>0.171875</v>
      </c>
      <c r="K55" s="31" t="s">
        <v>23</v>
      </c>
      <c r="L55" s="163"/>
      <c r="M55" s="164" t="s">
        <v>249</v>
      </c>
      <c r="N55" s="164" t="s">
        <v>249</v>
      </c>
      <c r="P55" s="4" t="s">
        <v>145</v>
      </c>
      <c r="Q55" s="4" t="s">
        <v>160</v>
      </c>
    </row>
    <row r="56" spans="2:17" x14ac:dyDescent="0.25">
      <c r="B56" s="28"/>
      <c r="C56" s="29" t="s">
        <v>58</v>
      </c>
      <c r="D56" s="30">
        <v>1.07</v>
      </c>
      <c r="E56" s="31">
        <v>0.34399999999999997</v>
      </c>
      <c r="F56" s="31">
        <v>0.17199999999999999</v>
      </c>
      <c r="G56" s="31">
        <f t="shared" si="0"/>
        <v>0.17199999999999999</v>
      </c>
      <c r="H56" s="31">
        <v>0.38400000000000001</v>
      </c>
      <c r="I56" s="31">
        <v>0.21249999999999999</v>
      </c>
      <c r="J56" s="31">
        <f t="shared" si="1"/>
        <v>0.17150000000000001</v>
      </c>
      <c r="K56" s="31" t="s">
        <v>23</v>
      </c>
      <c r="L56" s="163"/>
      <c r="M56" s="164">
        <v>2</v>
      </c>
      <c r="N56" s="164">
        <v>0.33</v>
      </c>
      <c r="P56" s="4" t="s">
        <v>141</v>
      </c>
      <c r="Q56" s="4" t="s">
        <v>161</v>
      </c>
    </row>
    <row r="57" spans="2:17" x14ac:dyDescent="0.25">
      <c r="B57" s="28"/>
      <c r="C57" s="29" t="s">
        <v>105</v>
      </c>
      <c r="D57" s="30">
        <v>1.07</v>
      </c>
      <c r="E57" s="31">
        <v>0.34399999999999997</v>
      </c>
      <c r="F57" s="31">
        <v>0.17199999999999999</v>
      </c>
      <c r="G57" s="31">
        <f t="shared" si="0"/>
        <v>0.17199999999999999</v>
      </c>
      <c r="H57" s="31">
        <v>0.38400000000000001</v>
      </c>
      <c r="I57" s="31">
        <v>0.21249999999999999</v>
      </c>
      <c r="J57" s="31">
        <f t="shared" si="1"/>
        <v>0.17150000000000001</v>
      </c>
      <c r="K57" s="31" t="s">
        <v>23</v>
      </c>
      <c r="L57" s="163"/>
      <c r="M57" s="164" t="s">
        <v>249</v>
      </c>
      <c r="N57" s="164" t="s">
        <v>249</v>
      </c>
      <c r="P57" s="4" t="s">
        <v>141</v>
      </c>
      <c r="Q57" s="4" t="s">
        <v>161</v>
      </c>
    </row>
    <row r="58" spans="2:17" x14ac:dyDescent="0.25">
      <c r="B58" s="28"/>
      <c r="C58" s="29" t="s">
        <v>110</v>
      </c>
      <c r="D58" s="30">
        <v>1.07</v>
      </c>
      <c r="E58" s="31">
        <v>0.34399999999999997</v>
      </c>
      <c r="F58" s="31">
        <v>0.17199999999999999</v>
      </c>
      <c r="G58" s="31">
        <f t="shared" si="0"/>
        <v>0.17199999999999999</v>
      </c>
      <c r="H58" s="31">
        <v>0.38400000000000001</v>
      </c>
      <c r="I58" s="31">
        <v>0.21249999999999999</v>
      </c>
      <c r="J58" s="31">
        <f t="shared" si="1"/>
        <v>0.17150000000000001</v>
      </c>
      <c r="K58" s="31" t="s">
        <v>23</v>
      </c>
      <c r="L58" s="163"/>
      <c r="M58" s="164">
        <v>2</v>
      </c>
      <c r="N58" s="164">
        <v>0.33</v>
      </c>
      <c r="P58" s="4" t="s">
        <v>143</v>
      </c>
      <c r="Q58" s="4" t="s">
        <v>162</v>
      </c>
    </row>
    <row r="59" spans="2:17" x14ac:dyDescent="0.25">
      <c r="B59" s="28"/>
      <c r="C59" s="29" t="s">
        <v>118</v>
      </c>
      <c r="D59" s="30">
        <v>1.07</v>
      </c>
      <c r="E59" s="31">
        <v>0.34399999999999997</v>
      </c>
      <c r="F59" s="31">
        <v>0.17199999999999999</v>
      </c>
      <c r="G59" s="31">
        <f t="shared" si="0"/>
        <v>0.17199999999999999</v>
      </c>
      <c r="H59" s="31">
        <v>0.38400000000000001</v>
      </c>
      <c r="I59" s="31">
        <v>0.21249999999999999</v>
      </c>
      <c r="J59" s="31">
        <f t="shared" si="1"/>
        <v>0.17150000000000001</v>
      </c>
      <c r="K59" s="31" t="s">
        <v>23</v>
      </c>
      <c r="L59" s="163"/>
      <c r="M59" s="164">
        <v>2</v>
      </c>
      <c r="N59" s="164">
        <v>0.33</v>
      </c>
      <c r="P59" s="4" t="s">
        <v>133</v>
      </c>
      <c r="Q59" s="4" t="s">
        <v>163</v>
      </c>
    </row>
    <row r="60" spans="2:17" x14ac:dyDescent="0.25">
      <c r="B60" s="28"/>
      <c r="C60" s="29" t="s">
        <v>63</v>
      </c>
      <c r="D60" s="30">
        <v>1.07</v>
      </c>
      <c r="E60" s="31">
        <v>0.34399999999999997</v>
      </c>
      <c r="F60" s="31">
        <v>0.17199999999999999</v>
      </c>
      <c r="G60" s="31">
        <f t="shared" si="0"/>
        <v>0.17199999999999999</v>
      </c>
      <c r="H60" s="31">
        <v>0.59299999999999997</v>
      </c>
      <c r="I60" s="31">
        <v>0.42099999999999999</v>
      </c>
      <c r="J60" s="31">
        <f t="shared" si="1"/>
        <v>0.17199999999999999</v>
      </c>
      <c r="K60" s="31" t="s">
        <v>23</v>
      </c>
      <c r="L60" s="163"/>
      <c r="M60" s="164">
        <v>3</v>
      </c>
      <c r="N60" s="164">
        <v>0.33</v>
      </c>
      <c r="P60" s="4" t="s">
        <v>104</v>
      </c>
      <c r="Q60" s="4" t="s">
        <v>164</v>
      </c>
    </row>
    <row r="61" spans="2:17" x14ac:dyDescent="0.25">
      <c r="B61" s="28"/>
      <c r="C61" s="32" t="s">
        <v>166</v>
      </c>
      <c r="D61" s="30">
        <v>1.07</v>
      </c>
      <c r="E61" s="31">
        <f>0.57-0.2</f>
        <v>0.36999999999999994</v>
      </c>
      <c r="F61" s="31">
        <v>0.2</v>
      </c>
      <c r="G61" s="31">
        <f t="shared" si="0"/>
        <v>0.16999999999999993</v>
      </c>
      <c r="H61" s="31">
        <v>0.56999999999999995</v>
      </c>
      <c r="I61" s="31">
        <v>0.4</v>
      </c>
      <c r="J61" s="31">
        <f t="shared" si="1"/>
        <v>0.16999999999999993</v>
      </c>
      <c r="K61" s="31" t="s">
        <v>23</v>
      </c>
      <c r="L61" s="163"/>
      <c r="M61" s="164">
        <v>3</v>
      </c>
      <c r="N61" s="164">
        <v>0.33</v>
      </c>
      <c r="P61" s="4" t="s">
        <v>127</v>
      </c>
      <c r="Q61" s="4" t="s">
        <v>165</v>
      </c>
    </row>
    <row r="62" spans="2:17" x14ac:dyDescent="0.25">
      <c r="B62" s="28"/>
      <c r="C62" s="32" t="s">
        <v>171</v>
      </c>
      <c r="D62" s="30">
        <v>1.07</v>
      </c>
      <c r="E62" s="31">
        <f>0.58-0.2</f>
        <v>0.37999999999999995</v>
      </c>
      <c r="F62" s="31">
        <v>0.21</v>
      </c>
      <c r="G62" s="31">
        <f t="shared" si="0"/>
        <v>0.16999999999999996</v>
      </c>
      <c r="H62" s="31">
        <v>0.57999999999999996</v>
      </c>
      <c r="I62" s="31">
        <v>0.41</v>
      </c>
      <c r="J62" s="31">
        <f t="shared" si="1"/>
        <v>0.16999999999999998</v>
      </c>
      <c r="K62" s="31" t="s">
        <v>23</v>
      </c>
      <c r="L62" s="163"/>
      <c r="M62" s="164">
        <v>1.1000000000000001</v>
      </c>
      <c r="N62" s="164">
        <v>0</v>
      </c>
      <c r="P62" s="4" t="s">
        <v>166</v>
      </c>
      <c r="Q62" s="4" t="s">
        <v>167</v>
      </c>
    </row>
    <row r="63" spans="2:17" x14ac:dyDescent="0.25">
      <c r="B63" s="28"/>
      <c r="C63" s="29" t="s">
        <v>250</v>
      </c>
      <c r="D63" s="30">
        <v>1.07</v>
      </c>
      <c r="E63" s="31">
        <f>0.532-0.15</f>
        <v>0.38200000000000001</v>
      </c>
      <c r="F63" s="31">
        <f>0.347-0.15</f>
        <v>0.19699999999999998</v>
      </c>
      <c r="G63" s="31">
        <f t="shared" si="0"/>
        <v>0.18500000000000003</v>
      </c>
      <c r="H63" s="31">
        <v>0.53200000000000003</v>
      </c>
      <c r="I63" s="31">
        <v>0.34699999999999998</v>
      </c>
      <c r="J63" s="31">
        <f t="shared" si="1"/>
        <v>0.18500000000000005</v>
      </c>
      <c r="K63" s="31" t="s">
        <v>23</v>
      </c>
      <c r="L63" s="163"/>
      <c r="M63" s="164">
        <v>3</v>
      </c>
      <c r="N63" s="164">
        <v>0.33</v>
      </c>
      <c r="P63" s="4" t="s">
        <v>168</v>
      </c>
      <c r="Q63" s="4" t="s">
        <v>169</v>
      </c>
    </row>
    <row r="64" spans="2:17" x14ac:dyDescent="0.25">
      <c r="B64" s="28"/>
      <c r="C64" s="29" t="s">
        <v>85</v>
      </c>
      <c r="D64" s="30">
        <v>1.07</v>
      </c>
      <c r="E64" s="31">
        <v>0.34399999999999997</v>
      </c>
      <c r="F64" s="31">
        <v>0.17199999999999999</v>
      </c>
      <c r="G64" s="31">
        <f t="shared" si="0"/>
        <v>0.17199999999999999</v>
      </c>
      <c r="H64" s="31">
        <v>0.34399999999999997</v>
      </c>
      <c r="I64" s="31">
        <v>0.17199999999999999</v>
      </c>
      <c r="J64" s="31">
        <f t="shared" si="1"/>
        <v>0.17199999999999999</v>
      </c>
      <c r="K64" s="31">
        <v>0.75</v>
      </c>
      <c r="L64" s="163" t="s">
        <v>23</v>
      </c>
      <c r="M64" s="164">
        <v>6</v>
      </c>
      <c r="N64" s="164">
        <v>1</v>
      </c>
      <c r="P64" s="4" t="s">
        <v>107</v>
      </c>
      <c r="Q64" s="4" t="s">
        <v>170</v>
      </c>
    </row>
    <row r="65" spans="2:17" x14ac:dyDescent="0.25">
      <c r="B65" s="28"/>
      <c r="C65" s="29" t="s">
        <v>123</v>
      </c>
      <c r="D65" s="30">
        <v>1.07</v>
      </c>
      <c r="E65" s="31">
        <f>0.48-0.1</f>
        <v>0.38</v>
      </c>
      <c r="F65" s="31">
        <v>0.21</v>
      </c>
      <c r="G65" s="31">
        <f t="shared" si="0"/>
        <v>0.17</v>
      </c>
      <c r="H65" s="31">
        <v>0.48</v>
      </c>
      <c r="I65" s="31">
        <v>0.31</v>
      </c>
      <c r="J65" s="31">
        <f t="shared" si="1"/>
        <v>0.16999999999999998</v>
      </c>
      <c r="K65" s="31" t="s">
        <v>23</v>
      </c>
      <c r="L65" s="163"/>
      <c r="M65" s="164">
        <v>10</v>
      </c>
      <c r="N65" s="164">
        <v>0.33</v>
      </c>
      <c r="P65" s="4" t="s">
        <v>69</v>
      </c>
      <c r="Q65" s="4" t="s">
        <v>172</v>
      </c>
    </row>
    <row r="66" spans="2:17" x14ac:dyDescent="0.25">
      <c r="B66" s="28"/>
      <c r="C66" s="29" t="s">
        <v>91</v>
      </c>
      <c r="D66" s="30">
        <v>1.07</v>
      </c>
      <c r="E66" s="31">
        <f>0.394-0.05</f>
        <v>0.34400000000000003</v>
      </c>
      <c r="F66" s="31">
        <f>0.222-0.05</f>
        <v>0.17199999999999999</v>
      </c>
      <c r="G66" s="31">
        <f t="shared" si="0"/>
        <v>0.17200000000000004</v>
      </c>
      <c r="H66" s="31">
        <v>0.39400000000000002</v>
      </c>
      <c r="I66" s="31">
        <v>0.222</v>
      </c>
      <c r="J66" s="31">
        <f t="shared" si="1"/>
        <v>0.17200000000000001</v>
      </c>
      <c r="K66" s="31" t="s">
        <v>23</v>
      </c>
      <c r="L66" s="163"/>
      <c r="M66" s="164">
        <v>6</v>
      </c>
      <c r="N66" s="164">
        <v>0.33</v>
      </c>
      <c r="P66" s="4" t="s">
        <v>95</v>
      </c>
      <c r="Q66" s="4" t="s">
        <v>173</v>
      </c>
    </row>
    <row r="67" spans="2:17" x14ac:dyDescent="0.25">
      <c r="B67" s="35" t="s">
        <v>179</v>
      </c>
      <c r="C67" s="36" t="s">
        <v>58</v>
      </c>
      <c r="D67" s="37">
        <v>0.6</v>
      </c>
      <c r="E67" s="38">
        <v>0.34</v>
      </c>
      <c r="F67" s="38">
        <v>0.17</v>
      </c>
      <c r="G67" s="38">
        <f t="shared" si="0"/>
        <v>0.17</v>
      </c>
      <c r="H67" s="38">
        <v>0.34</v>
      </c>
      <c r="I67" s="38">
        <v>0.17</v>
      </c>
      <c r="J67" s="38">
        <f t="shared" si="1"/>
        <v>0.17</v>
      </c>
      <c r="K67" s="38" t="s">
        <v>23</v>
      </c>
      <c r="L67" s="165"/>
      <c r="M67" s="162">
        <v>3</v>
      </c>
      <c r="N67" s="162">
        <v>0.5</v>
      </c>
      <c r="P67" s="33" t="s">
        <v>174</v>
      </c>
      <c r="Q67" s="34" t="s">
        <v>175</v>
      </c>
    </row>
    <row r="68" spans="2:17" x14ac:dyDescent="0.25">
      <c r="B68" s="35"/>
      <c r="C68" s="36" t="s">
        <v>108</v>
      </c>
      <c r="D68" s="37">
        <v>0.6</v>
      </c>
      <c r="E68" s="38">
        <v>0.34</v>
      </c>
      <c r="F68" s="38">
        <v>0.17</v>
      </c>
      <c r="G68" s="38">
        <f t="shared" ref="G68:G136" si="2">E68-F68</f>
        <v>0.17</v>
      </c>
      <c r="H68" s="38">
        <v>0.34</v>
      </c>
      <c r="I68" s="38">
        <v>0.17</v>
      </c>
      <c r="J68" s="38">
        <f t="shared" ref="J68:J136" si="3">H68-I68</f>
        <v>0.17</v>
      </c>
      <c r="K68" s="38">
        <v>0.48</v>
      </c>
      <c r="L68" s="165">
        <v>0.3</v>
      </c>
      <c r="M68" s="162">
        <v>6</v>
      </c>
      <c r="N68" s="162">
        <v>3</v>
      </c>
      <c r="P68" s="33" t="s">
        <v>252</v>
      </c>
      <c r="Q68" s="34" t="s">
        <v>176</v>
      </c>
    </row>
    <row r="69" spans="2:17" x14ac:dyDescent="0.25">
      <c r="B69" s="35"/>
      <c r="C69" s="36" t="s">
        <v>184</v>
      </c>
      <c r="D69" s="37">
        <v>0.6</v>
      </c>
      <c r="E69" s="38">
        <v>0.34</v>
      </c>
      <c r="F69" s="38">
        <v>0.17</v>
      </c>
      <c r="G69" s="38">
        <f t="shared" si="2"/>
        <v>0.17</v>
      </c>
      <c r="H69" s="38">
        <v>0.34</v>
      </c>
      <c r="I69" s="38">
        <v>0.17</v>
      </c>
      <c r="J69" s="38">
        <f t="shared" si="3"/>
        <v>0.17</v>
      </c>
      <c r="K69" s="38">
        <v>0.48</v>
      </c>
      <c r="L69" s="165">
        <v>0.3</v>
      </c>
      <c r="M69" s="162">
        <v>9</v>
      </c>
      <c r="N69" s="162">
        <v>3</v>
      </c>
      <c r="P69" s="34" t="s">
        <v>177</v>
      </c>
      <c r="Q69" s="34" t="s">
        <v>178</v>
      </c>
    </row>
    <row r="70" spans="2:17" x14ac:dyDescent="0.25">
      <c r="B70" s="35"/>
      <c r="C70" s="36" t="s">
        <v>250</v>
      </c>
      <c r="D70" s="37">
        <v>0.6</v>
      </c>
      <c r="E70" s="38">
        <v>0.34</v>
      </c>
      <c r="F70" s="38">
        <v>0.17</v>
      </c>
      <c r="G70" s="38">
        <f t="shared" si="2"/>
        <v>0.17</v>
      </c>
      <c r="H70" s="38">
        <f>0.34+0.085</f>
        <v>0.42500000000000004</v>
      </c>
      <c r="I70" s="38">
        <f>F70+0.085</f>
        <v>0.255</v>
      </c>
      <c r="J70" s="38">
        <f t="shared" si="3"/>
        <v>0.17000000000000004</v>
      </c>
      <c r="K70" s="38" t="s">
        <v>23</v>
      </c>
      <c r="L70" s="165"/>
      <c r="M70" s="162">
        <v>3</v>
      </c>
      <c r="N70" s="162">
        <v>0.5</v>
      </c>
      <c r="P70" s="34" t="s">
        <v>180</v>
      </c>
      <c r="Q70" s="34" t="s">
        <v>181</v>
      </c>
    </row>
    <row r="71" spans="2:17" x14ac:dyDescent="0.25">
      <c r="B71" s="35"/>
      <c r="C71" s="36" t="s">
        <v>105</v>
      </c>
      <c r="D71" s="37">
        <v>0.6</v>
      </c>
      <c r="E71" s="38">
        <v>0.34</v>
      </c>
      <c r="F71" s="38">
        <v>0.17</v>
      </c>
      <c r="G71" s="38">
        <f t="shared" si="2"/>
        <v>0.17</v>
      </c>
      <c r="H71" s="38">
        <v>0.34</v>
      </c>
      <c r="I71" s="38">
        <v>0.17</v>
      </c>
      <c r="J71" s="38">
        <f t="shared" si="3"/>
        <v>0.17</v>
      </c>
      <c r="K71" s="38" t="s">
        <v>23</v>
      </c>
      <c r="L71" s="165"/>
      <c r="M71" s="162" t="s">
        <v>249</v>
      </c>
      <c r="N71" s="162" t="s">
        <v>249</v>
      </c>
      <c r="P71" s="34" t="s">
        <v>182</v>
      </c>
      <c r="Q71" s="34" t="s">
        <v>183</v>
      </c>
    </row>
    <row r="72" spans="2:17" x14ac:dyDescent="0.25">
      <c r="B72" s="35"/>
      <c r="C72" s="36" t="s">
        <v>129</v>
      </c>
      <c r="D72" s="37">
        <v>0.6</v>
      </c>
      <c r="E72" s="38">
        <v>0.34</v>
      </c>
      <c r="F72" s="38">
        <v>0.17</v>
      </c>
      <c r="G72" s="38">
        <f t="shared" si="2"/>
        <v>0.17</v>
      </c>
      <c r="H72" s="38">
        <v>0.43</v>
      </c>
      <c r="I72" s="38">
        <f>H72-0.17</f>
        <v>0.26</v>
      </c>
      <c r="J72" s="38">
        <f t="shared" si="3"/>
        <v>0.16999999999999998</v>
      </c>
      <c r="K72" s="38" t="s">
        <v>23</v>
      </c>
      <c r="L72" s="165"/>
      <c r="M72" s="162">
        <v>3</v>
      </c>
      <c r="N72" s="162">
        <v>0.5</v>
      </c>
      <c r="P72" s="33" t="s">
        <v>185</v>
      </c>
      <c r="Q72" s="34" t="s">
        <v>186</v>
      </c>
    </row>
    <row r="73" spans="2:17" x14ac:dyDescent="0.25">
      <c r="B73" s="9" t="s">
        <v>193</v>
      </c>
      <c r="C73" s="10" t="s">
        <v>22</v>
      </c>
      <c r="D73" s="11">
        <v>0.6</v>
      </c>
      <c r="E73" s="12">
        <v>0.34399999999999997</v>
      </c>
      <c r="F73" s="12">
        <v>0.15</v>
      </c>
      <c r="G73" s="12">
        <f t="shared" si="2"/>
        <v>0.19399999999999998</v>
      </c>
      <c r="H73" s="12">
        <v>0.34399999999999997</v>
      </c>
      <c r="I73" s="12">
        <v>0.15</v>
      </c>
      <c r="J73" s="12">
        <f t="shared" si="3"/>
        <v>0.19399999999999998</v>
      </c>
      <c r="K73" s="12" t="s">
        <v>23</v>
      </c>
      <c r="L73" s="150"/>
      <c r="M73" s="153" t="s">
        <v>249</v>
      </c>
      <c r="N73" s="153" t="s">
        <v>249</v>
      </c>
      <c r="P73" s="34" t="s">
        <v>187</v>
      </c>
      <c r="Q73" s="34" t="s">
        <v>188</v>
      </c>
    </row>
    <row r="74" spans="2:17" x14ac:dyDescent="0.25">
      <c r="B74" s="9"/>
      <c r="C74" s="10" t="s">
        <v>58</v>
      </c>
      <c r="D74" s="11">
        <v>0.6</v>
      </c>
      <c r="E74" s="12">
        <v>0.34399999999999997</v>
      </c>
      <c r="F74" s="12">
        <v>0.157</v>
      </c>
      <c r="G74" s="12">
        <f t="shared" si="2"/>
        <v>0.18699999999999997</v>
      </c>
      <c r="H74" s="12">
        <v>0.34399999999999997</v>
      </c>
      <c r="I74" s="12">
        <v>0.157</v>
      </c>
      <c r="J74" s="12">
        <f t="shared" si="3"/>
        <v>0.18699999999999997</v>
      </c>
      <c r="K74" s="12" t="s">
        <v>23</v>
      </c>
      <c r="L74" s="150"/>
      <c r="M74" s="153">
        <v>3</v>
      </c>
      <c r="N74" s="153">
        <v>1</v>
      </c>
      <c r="P74" s="33" t="s">
        <v>189</v>
      </c>
      <c r="Q74" s="34" t="s">
        <v>190</v>
      </c>
    </row>
    <row r="75" spans="2:17" x14ac:dyDescent="0.25">
      <c r="B75" s="9"/>
      <c r="C75" s="10" t="s">
        <v>110</v>
      </c>
      <c r="D75" s="11">
        <v>0.6</v>
      </c>
      <c r="E75" s="12">
        <v>0.34399999999999997</v>
      </c>
      <c r="F75" s="12">
        <v>0.157</v>
      </c>
      <c r="G75" s="12">
        <f t="shared" si="2"/>
        <v>0.18699999999999997</v>
      </c>
      <c r="H75" s="12">
        <v>0.34399999999999997</v>
      </c>
      <c r="I75" s="12">
        <v>0.157</v>
      </c>
      <c r="J75" s="12">
        <f t="shared" si="3"/>
        <v>0.18699999999999997</v>
      </c>
      <c r="K75" s="12" t="s">
        <v>23</v>
      </c>
      <c r="L75" s="150"/>
      <c r="M75" s="153">
        <v>3</v>
      </c>
      <c r="N75" s="153">
        <v>1</v>
      </c>
      <c r="P75" s="33" t="s">
        <v>191</v>
      </c>
      <c r="Q75" s="34" t="s">
        <v>192</v>
      </c>
    </row>
    <row r="76" spans="2:17" x14ac:dyDescent="0.25">
      <c r="B76" s="9"/>
      <c r="C76" s="10" t="s">
        <v>76</v>
      </c>
      <c r="D76" s="11">
        <v>0.6</v>
      </c>
      <c r="E76" s="12">
        <v>0.34399999999999997</v>
      </c>
      <c r="F76" s="12">
        <f>(0.235-0.085)</f>
        <v>0.14999999999999997</v>
      </c>
      <c r="G76" s="12">
        <f t="shared" si="2"/>
        <v>0.19400000000000001</v>
      </c>
      <c r="H76" s="12">
        <f>0.344+0.085</f>
        <v>0.42899999999999999</v>
      </c>
      <c r="I76" s="12">
        <v>0.23499999999999999</v>
      </c>
      <c r="J76" s="12">
        <f t="shared" si="3"/>
        <v>0.19400000000000001</v>
      </c>
      <c r="K76" s="12" t="s">
        <v>23</v>
      </c>
      <c r="L76" s="150"/>
      <c r="M76" s="153">
        <v>3</v>
      </c>
      <c r="N76" s="153">
        <v>0.5</v>
      </c>
      <c r="P76" s="33" t="s">
        <v>194</v>
      </c>
      <c r="Q76" s="34" t="s">
        <v>195</v>
      </c>
    </row>
    <row r="77" spans="2:17" x14ac:dyDescent="0.25">
      <c r="B77" s="9"/>
      <c r="C77" s="10" t="s">
        <v>79</v>
      </c>
      <c r="D77" s="11">
        <v>0.6</v>
      </c>
      <c r="E77" s="12">
        <v>0.34399999999999997</v>
      </c>
      <c r="F77" s="12">
        <f>0.235-0.085</f>
        <v>0.14999999999999997</v>
      </c>
      <c r="G77" s="12">
        <f t="shared" si="2"/>
        <v>0.19400000000000001</v>
      </c>
      <c r="H77" s="12">
        <f>0.344+0.085</f>
        <v>0.42899999999999999</v>
      </c>
      <c r="I77" s="12">
        <v>0.23499999999999999</v>
      </c>
      <c r="J77" s="12">
        <f t="shared" si="3"/>
        <v>0.19400000000000001</v>
      </c>
      <c r="K77" s="12" t="s">
        <v>23</v>
      </c>
      <c r="L77" s="150"/>
      <c r="M77" s="153">
        <v>3</v>
      </c>
      <c r="N77" s="153">
        <v>0.5</v>
      </c>
      <c r="P77" s="34" t="s">
        <v>196</v>
      </c>
      <c r="Q77" s="34" t="s">
        <v>197</v>
      </c>
    </row>
    <row r="78" spans="2:17" x14ac:dyDescent="0.25">
      <c r="B78" s="9"/>
      <c r="C78" s="10" t="s">
        <v>91</v>
      </c>
      <c r="D78" s="11">
        <v>0.6</v>
      </c>
      <c r="E78" s="12">
        <v>0.34399999999999997</v>
      </c>
      <c r="F78" s="12">
        <f>0.2-0.05</f>
        <v>0.15000000000000002</v>
      </c>
      <c r="G78" s="12">
        <f t="shared" si="2"/>
        <v>0.19399999999999995</v>
      </c>
      <c r="H78" s="12">
        <f>0.394</f>
        <v>0.39400000000000002</v>
      </c>
      <c r="I78" s="12">
        <v>0.2</v>
      </c>
      <c r="J78" s="12">
        <f t="shared" si="3"/>
        <v>0.19400000000000001</v>
      </c>
      <c r="K78" s="12" t="s">
        <v>23</v>
      </c>
      <c r="L78" s="150"/>
      <c r="M78" s="153">
        <v>3</v>
      </c>
      <c r="N78" s="153">
        <v>1</v>
      </c>
      <c r="P78" s="34" t="s">
        <v>198</v>
      </c>
      <c r="Q78" s="34" t="s">
        <v>199</v>
      </c>
    </row>
    <row r="79" spans="2:17" x14ac:dyDescent="0.25">
      <c r="B79" s="9"/>
      <c r="C79" s="10" t="s">
        <v>287</v>
      </c>
      <c r="D79" s="11">
        <v>0.6</v>
      </c>
      <c r="E79" s="12">
        <v>0.34399999999999997</v>
      </c>
      <c r="F79" s="12">
        <v>0.157</v>
      </c>
      <c r="G79" s="12">
        <f t="shared" si="2"/>
        <v>0.18699999999999997</v>
      </c>
      <c r="H79" s="12">
        <v>0.34399999999999997</v>
      </c>
      <c r="I79" s="12">
        <v>0.157</v>
      </c>
      <c r="J79" s="12">
        <f t="shared" si="3"/>
        <v>0.18699999999999997</v>
      </c>
      <c r="K79" s="12" t="s">
        <v>23</v>
      </c>
      <c r="L79" s="150"/>
      <c r="M79" s="153">
        <v>3</v>
      </c>
      <c r="N79" s="153">
        <v>1</v>
      </c>
      <c r="P79" s="33" t="s">
        <v>200</v>
      </c>
      <c r="Q79" s="34" t="s">
        <v>201</v>
      </c>
    </row>
    <row r="80" spans="2:17" x14ac:dyDescent="0.25">
      <c r="B80" s="9"/>
      <c r="C80" s="10" t="s">
        <v>59</v>
      </c>
      <c r="D80" s="11">
        <v>0.6</v>
      </c>
      <c r="E80" s="12">
        <v>0.34399999999999997</v>
      </c>
      <c r="F80" s="12">
        <f>0.282-0.125</f>
        <v>0.15699999999999997</v>
      </c>
      <c r="G80" s="12">
        <f t="shared" si="2"/>
        <v>0.187</v>
      </c>
      <c r="H80" s="12">
        <f>0.344+0.125</f>
        <v>0.46899999999999997</v>
      </c>
      <c r="I80" s="12">
        <v>0.28199999999999997</v>
      </c>
      <c r="J80" s="12">
        <f t="shared" si="3"/>
        <v>0.187</v>
      </c>
      <c r="K80" s="12" t="s">
        <v>23</v>
      </c>
      <c r="L80" s="150"/>
      <c r="M80" s="153">
        <v>9</v>
      </c>
      <c r="N80" s="153">
        <v>1</v>
      </c>
      <c r="P80" s="33" t="s">
        <v>202</v>
      </c>
      <c r="Q80" s="34" t="s">
        <v>203</v>
      </c>
    </row>
    <row r="81" spans="2:17" x14ac:dyDescent="0.25">
      <c r="B81" s="9"/>
      <c r="C81" s="10" t="s">
        <v>88</v>
      </c>
      <c r="D81" s="11">
        <v>0.6</v>
      </c>
      <c r="E81" s="12">
        <v>0.34399999999999997</v>
      </c>
      <c r="F81" s="12">
        <v>0.15</v>
      </c>
      <c r="G81" s="12">
        <f t="shared" si="2"/>
        <v>0.19399999999999998</v>
      </c>
      <c r="H81" s="12">
        <v>0.34399999999999997</v>
      </c>
      <c r="I81" s="12">
        <v>0.15</v>
      </c>
      <c r="J81" s="12">
        <f t="shared" si="3"/>
        <v>0.19399999999999998</v>
      </c>
      <c r="K81" s="12" t="s">
        <v>23</v>
      </c>
      <c r="L81" s="150"/>
      <c r="M81" s="153" t="s">
        <v>249</v>
      </c>
      <c r="N81" s="153" t="s">
        <v>249</v>
      </c>
      <c r="P81" s="34" t="s">
        <v>204</v>
      </c>
      <c r="Q81" s="34" t="s">
        <v>205</v>
      </c>
    </row>
    <row r="82" spans="2:17" x14ac:dyDescent="0.25">
      <c r="B82" s="39" t="s">
        <v>212</v>
      </c>
      <c r="C82" s="40" t="s">
        <v>22</v>
      </c>
      <c r="D82" s="41">
        <v>1.44</v>
      </c>
      <c r="E82" s="42">
        <v>0.75</v>
      </c>
      <c r="F82" s="42">
        <v>0.375</v>
      </c>
      <c r="G82" s="42">
        <f t="shared" si="2"/>
        <v>0.375</v>
      </c>
      <c r="H82" s="42">
        <v>0.75</v>
      </c>
      <c r="I82" s="42">
        <v>0.375</v>
      </c>
      <c r="J82" s="42">
        <f t="shared" si="3"/>
        <v>0.375</v>
      </c>
      <c r="K82" s="42" t="s">
        <v>23</v>
      </c>
      <c r="L82" s="166"/>
      <c r="M82" s="151">
        <v>6</v>
      </c>
      <c r="N82" s="151">
        <v>1</v>
      </c>
      <c r="P82" s="34" t="s">
        <v>206</v>
      </c>
      <c r="Q82" s="34" t="s">
        <v>207</v>
      </c>
    </row>
    <row r="83" spans="2:17" x14ac:dyDescent="0.25">
      <c r="B83" s="39"/>
      <c r="C83" s="40" t="s">
        <v>58</v>
      </c>
      <c r="D83" s="41">
        <v>1.44</v>
      </c>
      <c r="E83" s="42">
        <v>0.75</v>
      </c>
      <c r="F83" s="42">
        <v>0.375</v>
      </c>
      <c r="G83" s="42">
        <f t="shared" si="2"/>
        <v>0.375</v>
      </c>
      <c r="H83" s="42">
        <v>0.75</v>
      </c>
      <c r="I83" s="42">
        <v>0.375</v>
      </c>
      <c r="J83" s="42">
        <f t="shared" si="3"/>
        <v>0.375</v>
      </c>
      <c r="K83" s="42" t="s">
        <v>23</v>
      </c>
      <c r="L83" s="166"/>
      <c r="M83" s="151">
        <v>6</v>
      </c>
      <c r="N83" s="151">
        <v>1</v>
      </c>
      <c r="P83" s="34" t="s">
        <v>208</v>
      </c>
      <c r="Q83" s="34" t="s">
        <v>209</v>
      </c>
    </row>
    <row r="84" spans="2:17" x14ac:dyDescent="0.25">
      <c r="B84" s="39"/>
      <c r="C84" s="40" t="s">
        <v>28</v>
      </c>
      <c r="D84" s="41">
        <v>1.44</v>
      </c>
      <c r="E84" s="42">
        <v>0.75</v>
      </c>
      <c r="F84" s="42">
        <v>0.375</v>
      </c>
      <c r="G84" s="42">
        <f t="shared" si="2"/>
        <v>0.375</v>
      </c>
      <c r="H84" s="42">
        <v>1</v>
      </c>
      <c r="I84" s="42">
        <v>0.625</v>
      </c>
      <c r="J84" s="42">
        <f t="shared" si="3"/>
        <v>0.375</v>
      </c>
      <c r="K84" s="42" t="s">
        <v>23</v>
      </c>
      <c r="L84" s="166"/>
      <c r="M84" s="151">
        <v>6</v>
      </c>
      <c r="N84" s="151">
        <v>1</v>
      </c>
      <c r="P84" s="33" t="s">
        <v>210</v>
      </c>
      <c r="Q84" s="34" t="s">
        <v>211</v>
      </c>
    </row>
    <row r="85" spans="2:17" x14ac:dyDescent="0.25">
      <c r="B85" s="39"/>
      <c r="C85" s="40" t="s">
        <v>62</v>
      </c>
      <c r="D85" s="41">
        <v>1.44</v>
      </c>
      <c r="E85" s="42">
        <v>0.75</v>
      </c>
      <c r="F85" s="42">
        <v>0.375</v>
      </c>
      <c r="G85" s="42">
        <f t="shared" si="2"/>
        <v>0.375</v>
      </c>
      <c r="H85" s="41">
        <v>0.84375</v>
      </c>
      <c r="I85" s="41">
        <v>0.46875</v>
      </c>
      <c r="J85" s="42">
        <f t="shared" si="3"/>
        <v>0.375</v>
      </c>
      <c r="K85" s="42" t="s">
        <v>23</v>
      </c>
      <c r="L85" s="166"/>
      <c r="M85" s="151">
        <v>6</v>
      </c>
      <c r="N85" s="151">
        <v>1</v>
      </c>
      <c r="P85" s="34" t="s">
        <v>213</v>
      </c>
      <c r="Q85" s="34" t="s">
        <v>214</v>
      </c>
    </row>
    <row r="86" spans="2:17" x14ac:dyDescent="0.25">
      <c r="B86" s="39"/>
      <c r="C86" s="40" t="s">
        <v>129</v>
      </c>
      <c r="D86" s="41">
        <v>1.44</v>
      </c>
      <c r="E86" s="42">
        <v>0.75</v>
      </c>
      <c r="F86" s="42">
        <v>0.375</v>
      </c>
      <c r="G86" s="42">
        <f t="shared" si="2"/>
        <v>0.375</v>
      </c>
      <c r="H86" s="42">
        <v>1</v>
      </c>
      <c r="I86" s="42">
        <v>0.625</v>
      </c>
      <c r="J86" s="42">
        <f t="shared" si="3"/>
        <v>0.375</v>
      </c>
      <c r="K86" s="42" t="s">
        <v>23</v>
      </c>
      <c r="L86" s="166"/>
      <c r="M86" s="151">
        <v>6</v>
      </c>
      <c r="N86" s="151">
        <v>1</v>
      </c>
      <c r="P86" s="34" t="s">
        <v>215</v>
      </c>
      <c r="Q86" s="34" t="s">
        <v>216</v>
      </c>
    </row>
    <row r="87" spans="2:17" x14ac:dyDescent="0.25">
      <c r="B87" s="43" t="s">
        <v>217</v>
      </c>
      <c r="C87" s="44" t="s">
        <v>58</v>
      </c>
      <c r="D87" s="45">
        <v>1</v>
      </c>
      <c r="E87" s="46">
        <v>0.5</v>
      </c>
      <c r="F87" s="46">
        <v>0.25</v>
      </c>
      <c r="G87" s="46">
        <f t="shared" si="2"/>
        <v>0.25</v>
      </c>
      <c r="H87" s="46">
        <v>0.5</v>
      </c>
      <c r="I87" s="46">
        <v>0.25</v>
      </c>
      <c r="J87" s="46">
        <f t="shared" si="3"/>
        <v>0.25</v>
      </c>
      <c r="K87" s="46" t="s">
        <v>23</v>
      </c>
      <c r="L87" s="167"/>
      <c r="M87" s="168">
        <v>5</v>
      </c>
      <c r="N87" s="168">
        <v>1</v>
      </c>
    </row>
    <row r="88" spans="2:17" x14ac:dyDescent="0.25">
      <c r="B88" s="43"/>
      <c r="C88" s="44" t="s">
        <v>105</v>
      </c>
      <c r="D88" s="45">
        <v>1</v>
      </c>
      <c r="E88" s="46">
        <v>0.5</v>
      </c>
      <c r="F88" s="46">
        <v>0.25</v>
      </c>
      <c r="G88" s="46">
        <f t="shared" si="2"/>
        <v>0.25</v>
      </c>
      <c r="H88" s="46">
        <v>0.5</v>
      </c>
      <c r="I88" s="46">
        <v>0.25</v>
      </c>
      <c r="J88" s="46">
        <f t="shared" si="3"/>
        <v>0.25</v>
      </c>
      <c r="K88" s="46" t="s">
        <v>23</v>
      </c>
      <c r="L88" s="167"/>
      <c r="M88" s="168" t="s">
        <v>249</v>
      </c>
      <c r="N88" s="168" t="s">
        <v>249</v>
      </c>
    </row>
    <row r="89" spans="2:17" x14ac:dyDescent="0.25">
      <c r="B89" s="43"/>
      <c r="C89" s="44" t="s">
        <v>218</v>
      </c>
      <c r="D89" s="45">
        <v>1</v>
      </c>
      <c r="E89" s="46">
        <v>0.5</v>
      </c>
      <c r="F89" s="46">
        <v>0.3</v>
      </c>
      <c r="G89" s="46">
        <f t="shared" si="2"/>
        <v>0.2</v>
      </c>
      <c r="H89" s="46">
        <v>0.5</v>
      </c>
      <c r="I89" s="46">
        <v>0.3</v>
      </c>
      <c r="J89" s="46">
        <f t="shared" si="3"/>
        <v>0.2</v>
      </c>
      <c r="K89" s="46" t="s">
        <v>23</v>
      </c>
      <c r="L89" s="167"/>
      <c r="M89" s="168">
        <v>6</v>
      </c>
      <c r="N89" s="168">
        <v>0</v>
      </c>
    </row>
    <row r="90" spans="2:17" x14ac:dyDescent="0.25">
      <c r="B90" s="43"/>
      <c r="C90" s="44" t="s">
        <v>22</v>
      </c>
      <c r="D90" s="45">
        <v>1</v>
      </c>
      <c r="E90" s="46">
        <v>0.5</v>
      </c>
      <c r="F90" s="46">
        <v>0.25</v>
      </c>
      <c r="G90" s="46">
        <f t="shared" si="2"/>
        <v>0.25</v>
      </c>
      <c r="H90" s="46">
        <v>0.5</v>
      </c>
      <c r="I90" s="46">
        <v>0.25</v>
      </c>
      <c r="J90" s="46">
        <f t="shared" si="3"/>
        <v>0.25</v>
      </c>
      <c r="K90" s="46" t="s">
        <v>23</v>
      </c>
      <c r="L90" s="167"/>
      <c r="M90" s="168">
        <v>9</v>
      </c>
      <c r="N90" s="168">
        <v>1</v>
      </c>
    </row>
    <row r="91" spans="2:17" x14ac:dyDescent="0.25">
      <c r="B91" s="43"/>
      <c r="C91" s="44" t="s">
        <v>250</v>
      </c>
      <c r="D91" s="45">
        <v>1</v>
      </c>
      <c r="E91" s="46">
        <v>0.5</v>
      </c>
      <c r="F91" s="46">
        <v>0.25</v>
      </c>
      <c r="G91" s="46">
        <f t="shared" si="2"/>
        <v>0.25</v>
      </c>
      <c r="H91" s="46">
        <v>0.7</v>
      </c>
      <c r="I91" s="46">
        <v>0.45</v>
      </c>
      <c r="J91" s="46">
        <f t="shared" si="3"/>
        <v>0.24999999999999994</v>
      </c>
      <c r="K91" s="46" t="s">
        <v>23</v>
      </c>
      <c r="L91" s="167"/>
      <c r="M91" s="168">
        <v>5</v>
      </c>
      <c r="N91" s="168">
        <v>1</v>
      </c>
    </row>
    <row r="92" spans="2:17" x14ac:dyDescent="0.25">
      <c r="B92" s="43"/>
      <c r="C92" s="44" t="s">
        <v>166</v>
      </c>
      <c r="D92" s="45">
        <v>1</v>
      </c>
      <c r="E92" s="46">
        <v>0.5</v>
      </c>
      <c r="F92" s="46">
        <v>0.25</v>
      </c>
      <c r="G92" s="46">
        <f t="shared" si="2"/>
        <v>0.25</v>
      </c>
      <c r="H92" s="46">
        <v>0.7</v>
      </c>
      <c r="I92" s="46">
        <v>0.45</v>
      </c>
      <c r="J92" s="46">
        <f t="shared" si="3"/>
        <v>0.24999999999999994</v>
      </c>
      <c r="K92" s="46" t="s">
        <v>23</v>
      </c>
      <c r="L92" s="167"/>
      <c r="M92" s="168">
        <v>6</v>
      </c>
      <c r="N92" s="168">
        <v>1</v>
      </c>
    </row>
    <row r="93" spans="2:17" x14ac:dyDescent="0.25">
      <c r="B93" s="43"/>
      <c r="C93" s="44" t="s">
        <v>252</v>
      </c>
      <c r="D93" s="45">
        <v>1</v>
      </c>
      <c r="E93" s="46">
        <v>0.5</v>
      </c>
      <c r="F93" s="46">
        <v>0.25</v>
      </c>
      <c r="G93" s="46">
        <f t="shared" si="2"/>
        <v>0.25</v>
      </c>
      <c r="H93" s="46">
        <v>0.7</v>
      </c>
      <c r="I93" s="46">
        <v>0.45</v>
      </c>
      <c r="J93" s="46">
        <f t="shared" si="3"/>
        <v>0.24999999999999994</v>
      </c>
      <c r="K93" s="46" t="s">
        <v>23</v>
      </c>
      <c r="L93" s="167"/>
      <c r="M93" s="168">
        <v>3.25</v>
      </c>
      <c r="N93" s="168">
        <v>0</v>
      </c>
    </row>
    <row r="94" spans="2:17" x14ac:dyDescent="0.25">
      <c r="B94" s="43"/>
      <c r="C94" s="44" t="s">
        <v>219</v>
      </c>
      <c r="D94" s="45">
        <v>1</v>
      </c>
      <c r="E94" s="46">
        <v>0.5</v>
      </c>
      <c r="F94" s="46">
        <v>0.25</v>
      </c>
      <c r="G94" s="46">
        <f t="shared" si="2"/>
        <v>0.25</v>
      </c>
      <c r="H94" s="46">
        <v>0.7</v>
      </c>
      <c r="I94" s="46">
        <v>0.45</v>
      </c>
      <c r="J94" s="46">
        <f t="shared" si="3"/>
        <v>0.24999999999999994</v>
      </c>
      <c r="K94" s="46" t="s">
        <v>23</v>
      </c>
      <c r="L94" s="167"/>
      <c r="M94" s="168">
        <v>6</v>
      </c>
      <c r="N94" s="168">
        <v>0</v>
      </c>
    </row>
    <row r="95" spans="2:17" x14ac:dyDescent="0.25">
      <c r="B95" s="43"/>
      <c r="C95" s="44" t="s">
        <v>134</v>
      </c>
      <c r="D95" s="45">
        <v>1</v>
      </c>
      <c r="E95" s="46">
        <v>0.5</v>
      </c>
      <c r="F95" s="46">
        <v>0.25</v>
      </c>
      <c r="G95" s="46">
        <f t="shared" si="2"/>
        <v>0.25</v>
      </c>
      <c r="H95" s="46">
        <v>0.7</v>
      </c>
      <c r="I95" s="46">
        <v>0.45</v>
      </c>
      <c r="J95" s="46">
        <f t="shared" si="3"/>
        <v>0.24999999999999994</v>
      </c>
      <c r="K95" s="46" t="s">
        <v>23</v>
      </c>
      <c r="L95" s="167"/>
      <c r="M95" s="168">
        <v>5</v>
      </c>
      <c r="N95" s="168">
        <v>1</v>
      </c>
    </row>
    <row r="96" spans="2:17" x14ac:dyDescent="0.25">
      <c r="B96" s="43"/>
      <c r="C96" s="44" t="s">
        <v>220</v>
      </c>
      <c r="D96" s="45">
        <v>1</v>
      </c>
      <c r="E96" s="46">
        <v>0.5</v>
      </c>
      <c r="F96" s="46">
        <v>0.25</v>
      </c>
      <c r="G96" s="46">
        <f t="shared" si="2"/>
        <v>0.25</v>
      </c>
      <c r="H96" s="46">
        <v>0.7</v>
      </c>
      <c r="I96" s="46">
        <v>0.45</v>
      </c>
      <c r="J96" s="46">
        <f t="shared" si="3"/>
        <v>0.24999999999999994</v>
      </c>
      <c r="K96" s="46" t="s">
        <v>23</v>
      </c>
      <c r="L96" s="167"/>
      <c r="M96" s="168">
        <v>6</v>
      </c>
      <c r="N96" s="168">
        <v>0</v>
      </c>
    </row>
    <row r="97" spans="2:14" x14ac:dyDescent="0.25">
      <c r="B97" s="43"/>
      <c r="C97" s="44" t="s">
        <v>66</v>
      </c>
      <c r="D97" s="45">
        <v>1</v>
      </c>
      <c r="E97" s="46">
        <v>0.5</v>
      </c>
      <c r="F97" s="46">
        <v>0.25</v>
      </c>
      <c r="G97" s="46">
        <f t="shared" si="2"/>
        <v>0.25</v>
      </c>
      <c r="H97" s="46">
        <v>1.3</v>
      </c>
      <c r="I97" s="46">
        <v>1.05</v>
      </c>
      <c r="J97" s="46">
        <f t="shared" si="3"/>
        <v>0.25</v>
      </c>
      <c r="K97" s="46">
        <v>0.7</v>
      </c>
      <c r="L97" s="167">
        <v>0.83</v>
      </c>
      <c r="M97" s="168">
        <v>5</v>
      </c>
      <c r="N97" s="168">
        <v>1</v>
      </c>
    </row>
    <row r="98" spans="2:14" x14ac:dyDescent="0.25">
      <c r="B98" s="43"/>
      <c r="C98" s="44" t="s">
        <v>62</v>
      </c>
      <c r="D98" s="45">
        <v>1</v>
      </c>
      <c r="E98" s="46">
        <v>0.5</v>
      </c>
      <c r="F98" s="46">
        <v>0.25</v>
      </c>
      <c r="G98" s="46">
        <f t="shared" si="2"/>
        <v>0.25</v>
      </c>
      <c r="H98" s="46">
        <v>0.55000000000000004</v>
      </c>
      <c r="I98" s="46">
        <v>0.3</v>
      </c>
      <c r="J98" s="46">
        <f t="shared" si="3"/>
        <v>0.25000000000000006</v>
      </c>
      <c r="K98" s="46" t="s">
        <v>23</v>
      </c>
      <c r="L98" s="167"/>
      <c r="M98" s="168">
        <v>9</v>
      </c>
      <c r="N98" s="168">
        <v>1</v>
      </c>
    </row>
    <row r="99" spans="2:14" x14ac:dyDescent="0.25">
      <c r="B99" s="43"/>
      <c r="C99" s="44" t="s">
        <v>287</v>
      </c>
      <c r="D99" s="45">
        <v>1</v>
      </c>
      <c r="E99" s="46">
        <v>0.5</v>
      </c>
      <c r="F99" s="46">
        <v>0.25</v>
      </c>
      <c r="G99" s="46">
        <f t="shared" si="2"/>
        <v>0.25</v>
      </c>
      <c r="H99" s="46">
        <v>0.5</v>
      </c>
      <c r="I99" s="46">
        <v>0.25</v>
      </c>
      <c r="J99" s="46">
        <f t="shared" si="3"/>
        <v>0.25</v>
      </c>
      <c r="K99" s="46" t="s">
        <v>23</v>
      </c>
      <c r="L99" s="167"/>
      <c r="M99" s="168">
        <v>12</v>
      </c>
      <c r="N99" s="168">
        <v>1</v>
      </c>
    </row>
    <row r="100" spans="2:14" x14ac:dyDescent="0.25">
      <c r="B100" s="43"/>
      <c r="C100" s="44" t="s">
        <v>99</v>
      </c>
      <c r="D100" s="45">
        <v>1</v>
      </c>
      <c r="E100" s="46">
        <v>0.5</v>
      </c>
      <c r="F100" s="46">
        <v>0.25</v>
      </c>
      <c r="G100" s="46">
        <f t="shared" si="2"/>
        <v>0.25</v>
      </c>
      <c r="H100" s="46">
        <v>0.5</v>
      </c>
      <c r="I100" s="46">
        <v>0.25</v>
      </c>
      <c r="J100" s="46">
        <f t="shared" si="3"/>
        <v>0.25</v>
      </c>
      <c r="K100" s="46" t="s">
        <v>23</v>
      </c>
      <c r="L100" s="167"/>
      <c r="M100" s="168">
        <v>5</v>
      </c>
      <c r="N100" s="168">
        <v>1</v>
      </c>
    </row>
    <row r="101" spans="2:14" x14ac:dyDescent="0.25">
      <c r="B101" s="43"/>
      <c r="C101" s="45" t="s">
        <v>102</v>
      </c>
      <c r="D101" s="45">
        <v>1</v>
      </c>
      <c r="E101" s="46">
        <v>0.5</v>
      </c>
      <c r="F101" s="46">
        <v>0.25</v>
      </c>
      <c r="G101" s="46">
        <f t="shared" si="2"/>
        <v>0.25</v>
      </c>
      <c r="H101" s="46">
        <v>0.5</v>
      </c>
      <c r="I101" s="46">
        <v>0.25</v>
      </c>
      <c r="J101" s="46">
        <f t="shared" si="3"/>
        <v>0.25</v>
      </c>
      <c r="K101" s="46" t="s">
        <v>23</v>
      </c>
      <c r="L101" s="167"/>
      <c r="M101" s="168">
        <v>5</v>
      </c>
      <c r="N101" s="168">
        <v>1</v>
      </c>
    </row>
    <row r="102" spans="2:14" x14ac:dyDescent="0.25">
      <c r="B102" s="47" t="s">
        <v>221</v>
      </c>
      <c r="C102" s="48" t="s">
        <v>22</v>
      </c>
      <c r="D102" s="49">
        <v>0.5</v>
      </c>
      <c r="E102" s="50">
        <v>0.25</v>
      </c>
      <c r="F102" s="50">
        <v>0.125</v>
      </c>
      <c r="G102" s="50">
        <f t="shared" si="2"/>
        <v>0.125</v>
      </c>
      <c r="H102" s="50">
        <v>0.25</v>
      </c>
      <c r="I102" s="50">
        <v>0.125</v>
      </c>
      <c r="J102" s="50">
        <f t="shared" si="3"/>
        <v>0.125</v>
      </c>
      <c r="K102" s="50" t="s">
        <v>23</v>
      </c>
      <c r="L102" s="169"/>
      <c r="M102" s="170">
        <v>8</v>
      </c>
      <c r="N102" s="170">
        <v>0.5</v>
      </c>
    </row>
    <row r="103" spans="2:14" x14ac:dyDescent="0.25">
      <c r="B103" s="47"/>
      <c r="C103" s="48" t="s">
        <v>82</v>
      </c>
      <c r="D103" s="49">
        <v>0.5</v>
      </c>
      <c r="E103" s="50">
        <v>0.25</v>
      </c>
      <c r="F103" s="50">
        <v>0.125</v>
      </c>
      <c r="G103" s="50">
        <f t="shared" si="2"/>
        <v>0.125</v>
      </c>
      <c r="H103" s="50">
        <v>0.25</v>
      </c>
      <c r="I103" s="50">
        <v>0.125</v>
      </c>
      <c r="J103" s="50">
        <f t="shared" si="3"/>
        <v>0.125</v>
      </c>
      <c r="K103" s="50" t="s">
        <v>23</v>
      </c>
      <c r="L103" s="169"/>
      <c r="M103" s="170">
        <v>8</v>
      </c>
      <c r="N103" s="170">
        <v>2</v>
      </c>
    </row>
    <row r="104" spans="2:14" x14ac:dyDescent="0.25">
      <c r="B104" s="51" t="s">
        <v>222</v>
      </c>
      <c r="C104" s="52" t="s">
        <v>101</v>
      </c>
      <c r="D104" s="53">
        <v>1</v>
      </c>
      <c r="E104" s="54">
        <v>0.4</v>
      </c>
      <c r="F104" s="54">
        <v>0.2</v>
      </c>
      <c r="G104" s="54">
        <f t="shared" si="2"/>
        <v>0.2</v>
      </c>
      <c r="H104" s="54">
        <v>0.4</v>
      </c>
      <c r="I104" s="54">
        <v>0.2</v>
      </c>
      <c r="J104" s="54">
        <f t="shared" si="3"/>
        <v>0.2</v>
      </c>
      <c r="K104" s="54" t="s">
        <v>23</v>
      </c>
      <c r="L104" s="171"/>
      <c r="M104" s="172">
        <v>5</v>
      </c>
      <c r="N104" s="172">
        <v>0.5</v>
      </c>
    </row>
    <row r="105" spans="2:14" x14ac:dyDescent="0.25">
      <c r="B105" s="51"/>
      <c r="C105" s="52" t="s">
        <v>223</v>
      </c>
      <c r="D105" s="53">
        <v>1</v>
      </c>
      <c r="E105" s="54">
        <v>0.4</v>
      </c>
      <c r="F105" s="54">
        <v>0.2</v>
      </c>
      <c r="G105" s="54">
        <f t="shared" si="2"/>
        <v>0.2</v>
      </c>
      <c r="H105" s="54">
        <v>0.4</v>
      </c>
      <c r="I105" s="54">
        <v>0.2</v>
      </c>
      <c r="J105" s="54">
        <f t="shared" si="3"/>
        <v>0.2</v>
      </c>
      <c r="K105" s="54" t="s">
        <v>23</v>
      </c>
      <c r="L105" s="171"/>
      <c r="M105" s="172">
        <v>7.5</v>
      </c>
      <c r="N105" s="172">
        <v>0</v>
      </c>
    </row>
    <row r="106" spans="2:14" x14ac:dyDescent="0.25">
      <c r="B106" s="51"/>
      <c r="C106" s="52" t="s">
        <v>123</v>
      </c>
      <c r="D106" s="53">
        <v>1</v>
      </c>
      <c r="E106" s="54">
        <v>0.4</v>
      </c>
      <c r="F106" s="54">
        <v>0.2</v>
      </c>
      <c r="G106" s="54">
        <f t="shared" si="2"/>
        <v>0.2</v>
      </c>
      <c r="H106" s="54">
        <v>0.47499999999999998</v>
      </c>
      <c r="I106" s="54">
        <v>0.27500000000000002</v>
      </c>
      <c r="J106" s="54">
        <f t="shared" si="3"/>
        <v>0.19999999999999996</v>
      </c>
      <c r="K106" s="54" t="s">
        <v>23</v>
      </c>
      <c r="L106" s="171"/>
      <c r="M106" s="172">
        <v>5</v>
      </c>
      <c r="N106" s="172">
        <v>0.5</v>
      </c>
    </row>
    <row r="107" spans="2:14" x14ac:dyDescent="0.25">
      <c r="B107" s="51"/>
      <c r="C107" s="52" t="s">
        <v>116</v>
      </c>
      <c r="D107" s="53">
        <v>1</v>
      </c>
      <c r="E107" s="54">
        <v>0.4</v>
      </c>
      <c r="F107" s="54">
        <v>0.2</v>
      </c>
      <c r="G107" s="54">
        <f t="shared" si="2"/>
        <v>0.2</v>
      </c>
      <c r="H107" s="54">
        <v>0.56000000000000005</v>
      </c>
      <c r="I107" s="54">
        <v>0.36</v>
      </c>
      <c r="J107" s="54">
        <f t="shared" si="3"/>
        <v>0.20000000000000007</v>
      </c>
      <c r="K107" s="54" t="s">
        <v>23</v>
      </c>
      <c r="L107" s="171"/>
      <c r="M107" s="172">
        <v>5</v>
      </c>
      <c r="N107" s="172">
        <v>0.5</v>
      </c>
    </row>
    <row r="108" spans="2:14" x14ac:dyDescent="0.25">
      <c r="B108" s="51"/>
      <c r="C108" s="52" t="s">
        <v>118</v>
      </c>
      <c r="D108" s="53">
        <v>1</v>
      </c>
      <c r="E108" s="54">
        <v>0.4</v>
      </c>
      <c r="F108" s="54">
        <v>0.2</v>
      </c>
      <c r="G108" s="54">
        <f t="shared" si="2"/>
        <v>0.2</v>
      </c>
      <c r="H108" s="54">
        <v>0.4</v>
      </c>
      <c r="I108" s="54">
        <v>0.2</v>
      </c>
      <c r="J108" s="54">
        <f t="shared" si="3"/>
        <v>0.2</v>
      </c>
      <c r="K108" s="54" t="s">
        <v>23</v>
      </c>
      <c r="L108" s="171"/>
      <c r="M108" s="172">
        <v>5</v>
      </c>
      <c r="N108" s="172">
        <v>0.5</v>
      </c>
    </row>
    <row r="109" spans="2:14" x14ac:dyDescent="0.25">
      <c r="B109" s="51"/>
      <c r="C109" s="52" t="s">
        <v>125</v>
      </c>
      <c r="D109" s="53">
        <v>1</v>
      </c>
      <c r="E109" s="54">
        <v>0.4</v>
      </c>
      <c r="F109" s="54">
        <v>0.2</v>
      </c>
      <c r="G109" s="54">
        <f t="shared" si="2"/>
        <v>0.2</v>
      </c>
      <c r="H109" s="54">
        <v>0.47499999999999998</v>
      </c>
      <c r="I109" s="54">
        <v>0.27500000000000002</v>
      </c>
      <c r="J109" s="54">
        <f t="shared" si="3"/>
        <v>0.19999999999999996</v>
      </c>
      <c r="K109" s="54" t="s">
        <v>23</v>
      </c>
      <c r="L109" s="171"/>
      <c r="M109" s="172">
        <v>5</v>
      </c>
      <c r="N109" s="172">
        <v>0.5</v>
      </c>
    </row>
    <row r="110" spans="2:14" x14ac:dyDescent="0.25">
      <c r="B110" s="51"/>
      <c r="C110" s="52" t="s">
        <v>151</v>
      </c>
      <c r="D110" s="53">
        <v>1</v>
      </c>
      <c r="E110" s="54">
        <v>0.4</v>
      </c>
      <c r="F110" s="54">
        <v>0.2</v>
      </c>
      <c r="G110" s="54">
        <f t="shared" si="2"/>
        <v>0.2</v>
      </c>
      <c r="H110" s="54">
        <v>0.49</v>
      </c>
      <c r="I110" s="54">
        <v>0.28999999999999998</v>
      </c>
      <c r="J110" s="54">
        <f t="shared" si="3"/>
        <v>0.2</v>
      </c>
      <c r="K110" s="54" t="s">
        <v>23</v>
      </c>
      <c r="L110" s="171"/>
      <c r="M110" s="172">
        <v>5</v>
      </c>
      <c r="N110" s="172">
        <v>0.5</v>
      </c>
    </row>
    <row r="111" spans="2:14" x14ac:dyDescent="0.25">
      <c r="B111" s="55" t="s">
        <v>224</v>
      </c>
      <c r="C111" s="56" t="s">
        <v>141</v>
      </c>
      <c r="D111" s="57">
        <v>1</v>
      </c>
      <c r="E111" s="58">
        <v>0.4</v>
      </c>
      <c r="F111" s="58">
        <v>0.2</v>
      </c>
      <c r="G111" s="58">
        <f t="shared" si="2"/>
        <v>0.2</v>
      </c>
      <c r="H111" s="58">
        <v>0.4</v>
      </c>
      <c r="I111" s="58">
        <v>0.2</v>
      </c>
      <c r="J111" s="58">
        <f t="shared" si="3"/>
        <v>0.2</v>
      </c>
      <c r="K111" s="58" t="s">
        <v>23</v>
      </c>
      <c r="L111" s="173"/>
      <c r="M111" s="174">
        <v>4</v>
      </c>
      <c r="N111" s="174">
        <v>1</v>
      </c>
    </row>
    <row r="112" spans="2:14" x14ac:dyDescent="0.25">
      <c r="B112" s="59" t="s">
        <v>225</v>
      </c>
      <c r="C112" s="60" t="s">
        <v>22</v>
      </c>
      <c r="D112" s="61">
        <v>1.5</v>
      </c>
      <c r="E112" s="62">
        <v>0.75</v>
      </c>
      <c r="F112" s="62">
        <v>0.375</v>
      </c>
      <c r="G112" s="62">
        <f t="shared" si="2"/>
        <v>0.375</v>
      </c>
      <c r="H112" s="62">
        <v>0.75</v>
      </c>
      <c r="I112" s="62">
        <v>0.375</v>
      </c>
      <c r="J112" s="62">
        <f t="shared" si="3"/>
        <v>0.375</v>
      </c>
      <c r="K112" s="62" t="s">
        <v>23</v>
      </c>
      <c r="L112" s="175"/>
      <c r="M112" s="177">
        <v>5</v>
      </c>
      <c r="N112" s="177">
        <v>1</v>
      </c>
    </row>
    <row r="113" spans="2:16" x14ac:dyDescent="0.25">
      <c r="B113" s="59"/>
      <c r="C113" s="60" t="s">
        <v>91</v>
      </c>
      <c r="D113" s="61">
        <v>1.5</v>
      </c>
      <c r="E113" s="62">
        <v>0.75</v>
      </c>
      <c r="F113" s="62">
        <v>0.375</v>
      </c>
      <c r="G113" s="62">
        <f t="shared" si="2"/>
        <v>0.375</v>
      </c>
      <c r="H113" s="62">
        <v>0.87</v>
      </c>
      <c r="I113" s="62">
        <v>0.495</v>
      </c>
      <c r="J113" s="62">
        <f t="shared" si="3"/>
        <v>0.375</v>
      </c>
      <c r="K113" s="62" t="s">
        <v>23</v>
      </c>
      <c r="L113" s="175"/>
      <c r="M113" s="177">
        <v>16</v>
      </c>
      <c r="N113" s="177">
        <v>1</v>
      </c>
    </row>
    <row r="114" spans="2:16" x14ac:dyDescent="0.25">
      <c r="B114" s="59"/>
      <c r="C114" s="60" t="s">
        <v>69</v>
      </c>
      <c r="D114" s="61">
        <v>1.5</v>
      </c>
      <c r="E114" s="62">
        <v>0.75</v>
      </c>
      <c r="F114" s="62">
        <v>0.375</v>
      </c>
      <c r="G114" s="62">
        <f t="shared" si="2"/>
        <v>0.375</v>
      </c>
      <c r="H114" s="62">
        <v>1.875</v>
      </c>
      <c r="I114" s="62">
        <v>1.5</v>
      </c>
      <c r="J114" s="62">
        <f t="shared" si="3"/>
        <v>0.375</v>
      </c>
      <c r="K114" s="62">
        <v>0.95</v>
      </c>
      <c r="L114" s="175">
        <v>0.82499999999999996</v>
      </c>
      <c r="M114" s="177">
        <v>12</v>
      </c>
      <c r="N114" s="177" t="s">
        <v>249</v>
      </c>
    </row>
    <row r="115" spans="2:16" x14ac:dyDescent="0.25">
      <c r="B115" s="182" t="s">
        <v>253</v>
      </c>
      <c r="C115" s="183" t="s">
        <v>22</v>
      </c>
      <c r="D115" s="184">
        <v>1.52</v>
      </c>
      <c r="E115" s="185">
        <v>1.19</v>
      </c>
      <c r="F115" s="185" t="s">
        <v>23</v>
      </c>
      <c r="G115" s="185" t="s">
        <v>23</v>
      </c>
      <c r="H115" s="185">
        <v>1.19</v>
      </c>
      <c r="I115" s="185" t="s">
        <v>23</v>
      </c>
      <c r="J115" s="185" t="s">
        <v>23</v>
      </c>
      <c r="K115" s="185" t="s">
        <v>23</v>
      </c>
      <c r="L115" s="186" t="s">
        <v>23</v>
      </c>
      <c r="M115" s="187">
        <v>12</v>
      </c>
      <c r="N115" s="187">
        <v>1</v>
      </c>
    </row>
    <row r="116" spans="2:16" x14ac:dyDescent="0.25">
      <c r="B116" s="5" t="s">
        <v>226</v>
      </c>
      <c r="C116" s="6" t="s">
        <v>58</v>
      </c>
      <c r="D116" s="7">
        <v>2.5</v>
      </c>
      <c r="E116" s="8">
        <v>0.75</v>
      </c>
      <c r="F116" s="8">
        <v>0.35</v>
      </c>
      <c r="G116" s="8">
        <f t="shared" si="2"/>
        <v>0.4</v>
      </c>
      <c r="H116" s="8">
        <v>0.75</v>
      </c>
      <c r="I116" s="8">
        <v>0.35</v>
      </c>
      <c r="J116" s="8">
        <f t="shared" si="3"/>
        <v>0.4</v>
      </c>
      <c r="K116" s="8" t="s">
        <v>23</v>
      </c>
      <c r="L116" s="148"/>
      <c r="M116" s="170">
        <v>5</v>
      </c>
      <c r="N116" s="170">
        <v>1</v>
      </c>
      <c r="P116" s="221"/>
    </row>
    <row r="117" spans="2:16" x14ac:dyDescent="0.25">
      <c r="B117" s="5"/>
      <c r="C117" s="6" t="s">
        <v>118</v>
      </c>
      <c r="D117" s="7">
        <v>2.5</v>
      </c>
      <c r="E117" s="8">
        <v>0.75</v>
      </c>
      <c r="F117" s="8">
        <v>0.35</v>
      </c>
      <c r="G117" s="8">
        <f t="shared" si="2"/>
        <v>0.4</v>
      </c>
      <c r="H117" s="8">
        <v>0.75</v>
      </c>
      <c r="I117" s="8">
        <v>0.35</v>
      </c>
      <c r="J117" s="8">
        <f t="shared" si="3"/>
        <v>0.4</v>
      </c>
      <c r="K117" s="8" t="s">
        <v>23</v>
      </c>
      <c r="L117" s="148"/>
      <c r="M117" s="170">
        <v>5</v>
      </c>
      <c r="N117" s="170">
        <v>1</v>
      </c>
      <c r="P117" s="221"/>
    </row>
    <row r="118" spans="2:16" x14ac:dyDescent="0.25">
      <c r="B118" s="63" t="s">
        <v>227</v>
      </c>
      <c r="C118" s="64" t="s">
        <v>28</v>
      </c>
      <c r="D118" s="65">
        <v>2.0699999999999998</v>
      </c>
      <c r="E118" s="66">
        <v>1</v>
      </c>
      <c r="F118" s="66">
        <v>0.5</v>
      </c>
      <c r="G118" s="66">
        <f t="shared" si="2"/>
        <v>0.5</v>
      </c>
      <c r="H118" s="66">
        <v>1.37</v>
      </c>
      <c r="I118" s="66">
        <v>0.87</v>
      </c>
      <c r="J118" s="66">
        <f t="shared" si="3"/>
        <v>0.50000000000000011</v>
      </c>
      <c r="K118" s="66" t="s">
        <v>23</v>
      </c>
      <c r="L118" s="188"/>
      <c r="M118" s="157">
        <v>15</v>
      </c>
      <c r="N118" s="157">
        <v>1</v>
      </c>
      <c r="P118" s="221"/>
    </row>
    <row r="119" spans="2:16" x14ac:dyDescent="0.25">
      <c r="B119" s="67" t="s">
        <v>228</v>
      </c>
      <c r="C119" s="68" t="s">
        <v>69</v>
      </c>
      <c r="D119" s="69">
        <v>2</v>
      </c>
      <c r="E119" s="70">
        <v>0.625</v>
      </c>
      <c r="F119" s="70">
        <v>0.314</v>
      </c>
      <c r="G119" s="70">
        <f t="shared" si="2"/>
        <v>0.311</v>
      </c>
      <c r="H119" s="70">
        <v>1</v>
      </c>
      <c r="I119" s="70">
        <v>0.68899999999999995</v>
      </c>
      <c r="J119" s="70">
        <f t="shared" si="3"/>
        <v>0.31100000000000005</v>
      </c>
      <c r="K119" s="70">
        <v>0.95</v>
      </c>
      <c r="L119" s="189">
        <v>0.82499999999999996</v>
      </c>
      <c r="M119" s="176">
        <v>8</v>
      </c>
      <c r="N119" s="176">
        <v>2</v>
      </c>
      <c r="P119" s="221"/>
    </row>
    <row r="120" spans="2:16" x14ac:dyDescent="0.25">
      <c r="B120" s="71" t="s">
        <v>229</v>
      </c>
      <c r="C120" s="72" t="s">
        <v>22</v>
      </c>
      <c r="D120" s="73">
        <v>2</v>
      </c>
      <c r="E120" s="74">
        <v>0.625</v>
      </c>
      <c r="F120" s="74">
        <v>0.3125</v>
      </c>
      <c r="G120" s="74">
        <f t="shared" si="2"/>
        <v>0.3125</v>
      </c>
      <c r="H120" s="74">
        <v>0.625</v>
      </c>
      <c r="I120" s="74">
        <v>0.3125</v>
      </c>
      <c r="J120" s="74">
        <f t="shared" si="3"/>
        <v>0.3125</v>
      </c>
      <c r="K120" s="74" t="s">
        <v>23</v>
      </c>
      <c r="L120" s="190"/>
      <c r="M120" s="191">
        <v>5</v>
      </c>
      <c r="N120" s="191">
        <v>1</v>
      </c>
      <c r="P120" s="221"/>
    </row>
    <row r="121" spans="2:16" x14ac:dyDescent="0.25">
      <c r="B121" s="71"/>
      <c r="C121" s="72" t="s">
        <v>254</v>
      </c>
      <c r="D121" s="73">
        <v>2</v>
      </c>
      <c r="E121" s="74">
        <f>1.08+0.31</f>
        <v>1.3900000000000001</v>
      </c>
      <c r="F121" s="74">
        <v>1.08</v>
      </c>
      <c r="G121" s="74">
        <v>0.3125</v>
      </c>
      <c r="H121" s="74">
        <f>1.08+0.3125</f>
        <v>1.3925000000000001</v>
      </c>
      <c r="I121" s="74">
        <v>1.08</v>
      </c>
      <c r="J121" s="74">
        <v>0.3125</v>
      </c>
      <c r="K121" s="74"/>
      <c r="L121" s="190"/>
      <c r="M121" s="191">
        <v>10</v>
      </c>
      <c r="N121" s="191">
        <v>2</v>
      </c>
      <c r="P121" s="221"/>
    </row>
    <row r="122" spans="2:16" x14ac:dyDescent="0.25">
      <c r="B122" s="71"/>
      <c r="C122" s="72" t="s">
        <v>58</v>
      </c>
      <c r="D122" s="73">
        <v>2</v>
      </c>
      <c r="E122" s="74">
        <v>0.625</v>
      </c>
      <c r="F122" s="74">
        <v>0.3125</v>
      </c>
      <c r="G122" s="74">
        <v>0.3125</v>
      </c>
      <c r="H122" s="74">
        <v>0.625</v>
      </c>
      <c r="I122" s="74">
        <v>0.3125</v>
      </c>
      <c r="J122" s="74">
        <v>0.3125</v>
      </c>
      <c r="K122" s="74"/>
      <c r="L122" s="190"/>
      <c r="M122" s="191">
        <v>5</v>
      </c>
      <c r="N122" s="191">
        <v>1</v>
      </c>
    </row>
    <row r="123" spans="2:16" x14ac:dyDescent="0.25">
      <c r="B123" s="71"/>
      <c r="C123" s="72" t="s">
        <v>62</v>
      </c>
      <c r="D123" s="73">
        <v>2</v>
      </c>
      <c r="E123" s="74">
        <v>0.66</v>
      </c>
      <c r="F123" s="74">
        <v>0.34799999999999998</v>
      </c>
      <c r="G123" s="74">
        <f>E123-F123</f>
        <v>0.31200000000000006</v>
      </c>
      <c r="H123" s="74">
        <v>0.66</v>
      </c>
      <c r="I123" s="74">
        <v>0.34799999999999998</v>
      </c>
      <c r="J123" s="74">
        <f>H123-I123</f>
        <v>0.31200000000000006</v>
      </c>
      <c r="K123" s="74"/>
      <c r="L123" s="190"/>
      <c r="M123" s="191">
        <v>5</v>
      </c>
      <c r="N123" s="191">
        <v>1</v>
      </c>
    </row>
    <row r="124" spans="2:16" x14ac:dyDescent="0.25">
      <c r="B124" s="71"/>
      <c r="C124" s="72" t="s">
        <v>129</v>
      </c>
      <c r="D124" s="73">
        <v>2</v>
      </c>
      <c r="E124" s="74">
        <v>0.82499999999999996</v>
      </c>
      <c r="F124" s="74">
        <f>13/25.4</f>
        <v>0.51181102362204722</v>
      </c>
      <c r="G124" s="74">
        <f>E124-F124</f>
        <v>0.31318897637795273</v>
      </c>
      <c r="H124" s="74">
        <v>0.82499999999999996</v>
      </c>
      <c r="I124" s="74">
        <f>13/25.4</f>
        <v>0.51181102362204722</v>
      </c>
      <c r="J124" s="74">
        <f>H124-I124</f>
        <v>0.31318897637795273</v>
      </c>
      <c r="K124" s="74"/>
      <c r="L124" s="190"/>
      <c r="M124" s="191">
        <v>5</v>
      </c>
      <c r="N124" s="191">
        <v>1</v>
      </c>
    </row>
    <row r="125" spans="2:16" x14ac:dyDescent="0.25">
      <c r="B125" s="75" t="s">
        <v>230</v>
      </c>
      <c r="C125" s="76" t="s">
        <v>22</v>
      </c>
      <c r="D125" s="77">
        <v>1.01</v>
      </c>
      <c r="E125" s="78">
        <v>0.6</v>
      </c>
      <c r="F125" s="78">
        <v>0.25</v>
      </c>
      <c r="G125" s="78">
        <f t="shared" si="2"/>
        <v>0.35</v>
      </c>
      <c r="H125" s="78">
        <v>0.5</v>
      </c>
      <c r="I125" s="78">
        <v>0.25</v>
      </c>
      <c r="J125" s="78">
        <f t="shared" si="3"/>
        <v>0.25</v>
      </c>
      <c r="K125" s="78" t="s">
        <v>23</v>
      </c>
      <c r="L125" s="178"/>
      <c r="M125" s="179">
        <v>6</v>
      </c>
      <c r="N125" s="179">
        <v>1</v>
      </c>
    </row>
    <row r="126" spans="2:16" x14ac:dyDescent="0.25">
      <c r="B126" s="79" t="s">
        <v>231</v>
      </c>
      <c r="C126" s="80" t="s">
        <v>58</v>
      </c>
      <c r="D126" s="81">
        <v>3</v>
      </c>
      <c r="E126" s="82">
        <v>1.4</v>
      </c>
      <c r="F126" s="82">
        <v>0.7</v>
      </c>
      <c r="G126" s="82">
        <f t="shared" si="2"/>
        <v>0.7</v>
      </c>
      <c r="H126" s="82">
        <v>1.4</v>
      </c>
      <c r="I126" s="82">
        <v>0.7</v>
      </c>
      <c r="J126" s="82">
        <f t="shared" si="3"/>
        <v>0.7</v>
      </c>
      <c r="K126" s="82" t="s">
        <v>23</v>
      </c>
      <c r="L126" s="180"/>
      <c r="M126" s="181">
        <v>5.9</v>
      </c>
      <c r="N126" s="181">
        <v>0.98</v>
      </c>
    </row>
    <row r="127" spans="2:16" x14ac:dyDescent="0.25">
      <c r="B127" s="79"/>
      <c r="C127" s="80" t="s">
        <v>105</v>
      </c>
      <c r="D127" s="81">
        <v>3</v>
      </c>
      <c r="E127" s="82">
        <v>1.4</v>
      </c>
      <c r="F127" s="82">
        <v>0.7</v>
      </c>
      <c r="G127" s="82">
        <f t="shared" si="2"/>
        <v>0.7</v>
      </c>
      <c r="H127" s="82">
        <v>1.4</v>
      </c>
      <c r="I127" s="82">
        <v>0.7</v>
      </c>
      <c r="J127" s="82">
        <f t="shared" si="3"/>
        <v>0.7</v>
      </c>
      <c r="K127" s="82" t="s">
        <v>23</v>
      </c>
      <c r="L127" s="180"/>
      <c r="M127" s="181" t="s">
        <v>249</v>
      </c>
      <c r="N127" s="181" t="s">
        <v>249</v>
      </c>
    </row>
    <row r="128" spans="2:16" ht="15.75" thickBot="1" x14ac:dyDescent="0.3">
      <c r="B128" s="79"/>
      <c r="C128" s="83" t="s">
        <v>177</v>
      </c>
      <c r="D128" s="84">
        <v>3</v>
      </c>
      <c r="E128" s="85">
        <v>1.4</v>
      </c>
      <c r="F128" s="85">
        <v>0.7</v>
      </c>
      <c r="G128" s="85">
        <f t="shared" si="2"/>
        <v>0.7</v>
      </c>
      <c r="H128" s="85">
        <v>1.65</v>
      </c>
      <c r="I128" s="85">
        <v>0.95</v>
      </c>
      <c r="J128" s="85">
        <f t="shared" si="3"/>
        <v>0.7</v>
      </c>
      <c r="K128" s="85" t="s">
        <v>23</v>
      </c>
      <c r="L128" s="192"/>
      <c r="M128" s="181">
        <v>5.9</v>
      </c>
      <c r="N128" s="181">
        <v>0.98</v>
      </c>
      <c r="P128" s="1" t="s">
        <v>256</v>
      </c>
    </row>
    <row r="129" spans="1:16" x14ac:dyDescent="0.25">
      <c r="A129" s="2" t="s">
        <v>232</v>
      </c>
      <c r="B129" s="86" t="s">
        <v>233</v>
      </c>
      <c r="C129" s="87" t="s">
        <v>180</v>
      </c>
      <c r="D129" s="88"/>
      <c r="E129" s="89">
        <v>0.4</v>
      </c>
      <c r="F129" s="89">
        <v>0.2</v>
      </c>
      <c r="G129" s="89">
        <f t="shared" si="2"/>
        <v>0.2</v>
      </c>
      <c r="H129" s="89">
        <v>0.4</v>
      </c>
      <c r="I129" s="89">
        <v>0.2</v>
      </c>
      <c r="J129" s="89">
        <f t="shared" si="3"/>
        <v>0.2</v>
      </c>
      <c r="K129" s="89" t="s">
        <v>23</v>
      </c>
      <c r="L129" s="193"/>
      <c r="M129" s="174">
        <v>7.87</v>
      </c>
      <c r="N129" s="174">
        <v>7.87</v>
      </c>
    </row>
    <row r="130" spans="1:16" x14ac:dyDescent="0.25">
      <c r="B130" s="24" t="s">
        <v>234</v>
      </c>
      <c r="C130" s="25" t="s">
        <v>182</v>
      </c>
      <c r="D130" s="26">
        <v>1.5</v>
      </c>
      <c r="E130" s="27">
        <v>0.75</v>
      </c>
      <c r="F130" s="27">
        <v>0.375</v>
      </c>
      <c r="G130" s="27">
        <f t="shared" si="2"/>
        <v>0.375</v>
      </c>
      <c r="H130" s="27">
        <v>0.75</v>
      </c>
      <c r="I130" s="27">
        <v>0.375</v>
      </c>
      <c r="J130" s="27">
        <f t="shared" si="3"/>
        <v>0.375</v>
      </c>
      <c r="K130" s="27" t="s">
        <v>23</v>
      </c>
      <c r="L130" s="160"/>
      <c r="M130" s="161">
        <v>5</v>
      </c>
      <c r="N130" s="161">
        <v>1</v>
      </c>
      <c r="P130" s="1" t="s">
        <v>256</v>
      </c>
    </row>
    <row r="131" spans="1:16" x14ac:dyDescent="0.25">
      <c r="B131" s="24"/>
      <c r="C131" s="25" t="s">
        <v>185</v>
      </c>
      <c r="D131" s="26">
        <v>1.5</v>
      </c>
      <c r="E131" s="27">
        <v>0.75</v>
      </c>
      <c r="F131" s="27">
        <v>0.375</v>
      </c>
      <c r="G131" s="27">
        <f t="shared" si="2"/>
        <v>0.375</v>
      </c>
      <c r="H131" s="27">
        <v>1.25</v>
      </c>
      <c r="I131" s="27">
        <v>0.875</v>
      </c>
      <c r="J131" s="27">
        <f t="shared" si="3"/>
        <v>0.375</v>
      </c>
      <c r="K131" s="27" t="s">
        <v>23</v>
      </c>
      <c r="L131" s="160"/>
      <c r="M131" s="161">
        <v>6</v>
      </c>
      <c r="N131" s="161">
        <v>1</v>
      </c>
    </row>
    <row r="132" spans="1:16" x14ac:dyDescent="0.25">
      <c r="B132" s="24"/>
      <c r="C132" s="25" t="s">
        <v>235</v>
      </c>
      <c r="D132" s="26">
        <v>1.5</v>
      </c>
      <c r="E132" s="27">
        <v>0.75</v>
      </c>
      <c r="F132" s="27">
        <v>0.375</v>
      </c>
      <c r="G132" s="27">
        <f t="shared" si="2"/>
        <v>0.375</v>
      </c>
      <c r="H132" s="27">
        <v>1</v>
      </c>
      <c r="I132" s="27">
        <v>0.625</v>
      </c>
      <c r="J132" s="27">
        <f t="shared" si="3"/>
        <v>0.375</v>
      </c>
      <c r="K132" s="27" t="s">
        <v>23</v>
      </c>
      <c r="L132" s="160"/>
      <c r="M132" s="161">
        <v>5</v>
      </c>
      <c r="N132" s="161">
        <v>1</v>
      </c>
    </row>
    <row r="133" spans="1:16" x14ac:dyDescent="0.25">
      <c r="B133" s="24"/>
      <c r="C133" s="25" t="s">
        <v>187</v>
      </c>
      <c r="D133" s="26">
        <v>1.5</v>
      </c>
      <c r="E133" s="27">
        <v>0.75</v>
      </c>
      <c r="F133" s="27">
        <v>0.375</v>
      </c>
      <c r="G133" s="27">
        <f t="shared" si="2"/>
        <v>0.375</v>
      </c>
      <c r="H133" s="27">
        <v>0.75</v>
      </c>
      <c r="I133" s="27">
        <v>0.375</v>
      </c>
      <c r="J133" s="27">
        <f t="shared" si="3"/>
        <v>0.375</v>
      </c>
      <c r="K133" s="27" t="s">
        <v>23</v>
      </c>
      <c r="L133" s="160"/>
      <c r="M133" s="161" t="s">
        <v>249</v>
      </c>
      <c r="N133" s="161">
        <v>1</v>
      </c>
    </row>
    <row r="134" spans="1:16" x14ac:dyDescent="0.25">
      <c r="B134" s="24"/>
      <c r="C134" s="25" t="s">
        <v>189</v>
      </c>
      <c r="D134" s="26">
        <v>1.5</v>
      </c>
      <c r="E134" s="27">
        <v>0.75</v>
      </c>
      <c r="F134" s="27">
        <v>0.375</v>
      </c>
      <c r="G134" s="27">
        <f t="shared" si="2"/>
        <v>0.375</v>
      </c>
      <c r="H134" s="27">
        <v>1.25</v>
      </c>
      <c r="I134" s="27">
        <v>0.875</v>
      </c>
      <c r="J134" s="27">
        <f t="shared" si="3"/>
        <v>0.375</v>
      </c>
      <c r="K134" s="27" t="s">
        <v>23</v>
      </c>
      <c r="L134" s="160"/>
      <c r="M134" s="161" t="s">
        <v>249</v>
      </c>
      <c r="N134" s="161">
        <v>1</v>
      </c>
    </row>
    <row r="135" spans="1:16" x14ac:dyDescent="0.25">
      <c r="B135" s="24"/>
      <c r="C135" s="25" t="s">
        <v>236</v>
      </c>
      <c r="D135" s="26">
        <v>1.5</v>
      </c>
      <c r="E135" s="27">
        <v>0.75</v>
      </c>
      <c r="F135" s="27">
        <v>0.375</v>
      </c>
      <c r="G135" s="27">
        <f t="shared" si="2"/>
        <v>0.375</v>
      </c>
      <c r="H135" s="27">
        <v>0.75</v>
      </c>
      <c r="I135" s="27">
        <v>0.375</v>
      </c>
      <c r="J135" s="27">
        <f t="shared" si="3"/>
        <v>0.375</v>
      </c>
      <c r="K135" s="27">
        <v>0.92500000000000004</v>
      </c>
      <c r="L135" s="160"/>
      <c r="M135" s="161">
        <v>7</v>
      </c>
      <c r="N135" s="161">
        <v>1</v>
      </c>
    </row>
    <row r="136" spans="1:16" x14ac:dyDescent="0.25">
      <c r="B136" s="28" t="s">
        <v>237</v>
      </c>
      <c r="C136" s="29" t="s">
        <v>191</v>
      </c>
      <c r="D136" s="30">
        <v>1</v>
      </c>
      <c r="E136" s="31">
        <v>0.67500000000000004</v>
      </c>
      <c r="F136" s="31">
        <v>0.25</v>
      </c>
      <c r="G136" s="31">
        <f t="shared" si="2"/>
        <v>0.42500000000000004</v>
      </c>
      <c r="H136" s="31">
        <v>0.67500000000000004</v>
      </c>
      <c r="I136" s="31">
        <v>0.25</v>
      </c>
      <c r="J136" s="31">
        <f t="shared" si="3"/>
        <v>0.42500000000000004</v>
      </c>
      <c r="K136" s="31" t="s">
        <v>23</v>
      </c>
      <c r="L136" s="163"/>
      <c r="M136" s="164">
        <v>12</v>
      </c>
      <c r="N136" s="164">
        <v>3</v>
      </c>
    </row>
    <row r="137" spans="1:16" x14ac:dyDescent="0.25">
      <c r="B137" s="28"/>
      <c r="C137" s="29" t="s">
        <v>194</v>
      </c>
      <c r="D137" s="30">
        <v>1</v>
      </c>
      <c r="E137" s="31">
        <v>0.67500000000000004</v>
      </c>
      <c r="F137" s="31">
        <v>0.25</v>
      </c>
      <c r="G137" s="31">
        <f t="shared" ref="G137:G149" si="4">E137-F137</f>
        <v>0.42500000000000004</v>
      </c>
      <c r="H137" s="31">
        <v>0.67500000000000004</v>
      </c>
      <c r="I137" s="31">
        <v>0.25</v>
      </c>
      <c r="J137" s="31">
        <f t="shared" ref="J137:J149" si="5">H137-I137</f>
        <v>0.42500000000000004</v>
      </c>
      <c r="K137" s="31" t="s">
        <v>23</v>
      </c>
      <c r="L137" s="163"/>
      <c r="M137" s="164">
        <v>12</v>
      </c>
      <c r="N137" s="164">
        <v>3</v>
      </c>
    </row>
    <row r="138" spans="1:16" x14ac:dyDescent="0.25">
      <c r="B138" s="90" t="s">
        <v>238</v>
      </c>
      <c r="C138" s="91" t="s">
        <v>196</v>
      </c>
      <c r="D138" s="92">
        <v>1</v>
      </c>
      <c r="E138" s="93">
        <v>0.5</v>
      </c>
      <c r="F138" s="93">
        <v>0.25</v>
      </c>
      <c r="G138" s="93">
        <f t="shared" si="4"/>
        <v>0.25</v>
      </c>
      <c r="H138" s="93">
        <v>0.5</v>
      </c>
      <c r="I138" s="93">
        <v>0.25</v>
      </c>
      <c r="J138" s="93">
        <f t="shared" si="5"/>
        <v>0.25</v>
      </c>
      <c r="K138" s="93" t="s">
        <v>23</v>
      </c>
      <c r="L138" s="194"/>
      <c r="M138" s="195">
        <v>7</v>
      </c>
      <c r="N138" s="195">
        <v>0.5</v>
      </c>
    </row>
    <row r="139" spans="1:16" x14ac:dyDescent="0.25">
      <c r="B139" s="90"/>
      <c r="C139" s="91" t="s">
        <v>198</v>
      </c>
      <c r="D139" s="92">
        <v>1</v>
      </c>
      <c r="E139" s="93">
        <v>0.5</v>
      </c>
      <c r="F139" s="93">
        <v>0.25</v>
      </c>
      <c r="G139" s="93">
        <f t="shared" si="4"/>
        <v>0.25</v>
      </c>
      <c r="H139" s="93">
        <v>0.5</v>
      </c>
      <c r="I139" s="93">
        <v>0.25</v>
      </c>
      <c r="J139" s="93">
        <f t="shared" si="5"/>
        <v>0.25</v>
      </c>
      <c r="K139" s="93" t="s">
        <v>23</v>
      </c>
      <c r="L139" s="194"/>
      <c r="M139" s="195">
        <v>4</v>
      </c>
      <c r="N139" s="195">
        <v>0.5</v>
      </c>
    </row>
    <row r="140" spans="1:16" x14ac:dyDescent="0.25">
      <c r="B140" s="90"/>
      <c r="C140" s="91" t="s">
        <v>239</v>
      </c>
      <c r="D140" s="92">
        <v>1</v>
      </c>
      <c r="E140" s="93">
        <v>0.5</v>
      </c>
      <c r="F140" s="93">
        <v>0.25</v>
      </c>
      <c r="G140" s="93">
        <f t="shared" si="4"/>
        <v>0.25</v>
      </c>
      <c r="H140" s="93">
        <v>0.5</v>
      </c>
      <c r="I140" s="93">
        <v>0.25</v>
      </c>
      <c r="J140" s="93">
        <f t="shared" si="5"/>
        <v>0.25</v>
      </c>
      <c r="K140" s="93" t="s">
        <v>23</v>
      </c>
      <c r="L140" s="194"/>
      <c r="M140" s="195">
        <v>4</v>
      </c>
      <c r="N140" s="195">
        <v>0</v>
      </c>
    </row>
    <row r="141" spans="1:16" x14ac:dyDescent="0.25">
      <c r="B141" s="90"/>
      <c r="C141" s="91" t="s">
        <v>185</v>
      </c>
      <c r="D141" s="92">
        <v>1</v>
      </c>
      <c r="E141" s="93">
        <v>0.5</v>
      </c>
      <c r="F141" s="93">
        <v>0.25</v>
      </c>
      <c r="G141" s="93">
        <f t="shared" si="4"/>
        <v>0.25</v>
      </c>
      <c r="H141" s="93">
        <v>0.9</v>
      </c>
      <c r="I141" s="93">
        <v>0.65</v>
      </c>
      <c r="J141" s="93">
        <f t="shared" si="5"/>
        <v>0.25</v>
      </c>
      <c r="K141" s="93" t="s">
        <v>23</v>
      </c>
      <c r="L141" s="194"/>
      <c r="M141" s="195">
        <v>4</v>
      </c>
      <c r="N141" s="195">
        <v>0.5</v>
      </c>
    </row>
    <row r="142" spans="1:16" x14ac:dyDescent="0.25">
      <c r="B142" s="90"/>
      <c r="C142" s="91" t="s">
        <v>240</v>
      </c>
      <c r="D142" s="92">
        <v>1</v>
      </c>
      <c r="E142" s="93">
        <v>0.5</v>
      </c>
      <c r="F142" s="93">
        <v>0.25</v>
      </c>
      <c r="G142" s="93">
        <f t="shared" si="4"/>
        <v>0.25</v>
      </c>
      <c r="H142" s="93">
        <v>0.7</v>
      </c>
      <c r="I142" s="93">
        <v>0.45</v>
      </c>
      <c r="J142" s="93">
        <f t="shared" si="5"/>
        <v>0.24999999999999994</v>
      </c>
      <c r="K142" s="93" t="s">
        <v>23</v>
      </c>
      <c r="L142" s="194"/>
      <c r="M142" s="195">
        <v>4</v>
      </c>
      <c r="N142" s="195">
        <v>0.5</v>
      </c>
    </row>
    <row r="143" spans="1:16" x14ac:dyDescent="0.25">
      <c r="B143" s="90"/>
      <c r="C143" s="91" t="s">
        <v>200</v>
      </c>
      <c r="D143" s="92">
        <v>1</v>
      </c>
      <c r="E143" s="93">
        <v>0.5</v>
      </c>
      <c r="F143" s="93">
        <v>0.25</v>
      </c>
      <c r="G143" s="93">
        <f t="shared" si="4"/>
        <v>0.25</v>
      </c>
      <c r="H143" s="93">
        <v>0.5</v>
      </c>
      <c r="I143" s="93">
        <v>0.25</v>
      </c>
      <c r="J143" s="93">
        <f t="shared" si="5"/>
        <v>0.25</v>
      </c>
      <c r="K143" s="93">
        <v>0.67500000000000004</v>
      </c>
      <c r="L143" s="194"/>
      <c r="M143" s="195">
        <v>9</v>
      </c>
      <c r="N143" s="195">
        <v>1</v>
      </c>
    </row>
    <row r="144" spans="1:16" x14ac:dyDescent="0.25">
      <c r="B144" s="90"/>
      <c r="C144" s="91" t="s">
        <v>202</v>
      </c>
      <c r="D144" s="92">
        <v>1</v>
      </c>
      <c r="E144" s="93">
        <v>0.5</v>
      </c>
      <c r="F144" s="93">
        <v>0.25</v>
      </c>
      <c r="G144" s="93">
        <f t="shared" si="4"/>
        <v>0.25</v>
      </c>
      <c r="H144" s="93">
        <v>0.5</v>
      </c>
      <c r="I144" s="93">
        <v>0.25</v>
      </c>
      <c r="J144" s="93">
        <f t="shared" si="5"/>
        <v>0.25</v>
      </c>
      <c r="K144" s="93">
        <v>0.67500000000000004</v>
      </c>
      <c r="L144" s="194"/>
      <c r="M144" s="195">
        <v>6</v>
      </c>
      <c r="N144" s="195">
        <v>1</v>
      </c>
    </row>
    <row r="145" spans="2:14" x14ac:dyDescent="0.25">
      <c r="B145" s="90"/>
      <c r="C145" s="91" t="s">
        <v>204</v>
      </c>
      <c r="D145" s="92">
        <v>1</v>
      </c>
      <c r="E145" s="93">
        <v>0.5</v>
      </c>
      <c r="F145" s="93">
        <v>0.25</v>
      </c>
      <c r="G145" s="93">
        <f t="shared" si="4"/>
        <v>0.25</v>
      </c>
      <c r="H145" s="93">
        <v>1</v>
      </c>
      <c r="I145" s="93">
        <v>0.75</v>
      </c>
      <c r="J145" s="93">
        <f t="shared" si="5"/>
        <v>0.25</v>
      </c>
      <c r="K145" s="93" t="s">
        <v>23</v>
      </c>
      <c r="L145" s="194"/>
      <c r="M145" s="195">
        <v>4</v>
      </c>
      <c r="N145" s="195">
        <v>0.5</v>
      </c>
    </row>
    <row r="146" spans="2:14" x14ac:dyDescent="0.25">
      <c r="B146" s="90"/>
      <c r="C146" s="91" t="s">
        <v>206</v>
      </c>
      <c r="D146" s="92">
        <v>1</v>
      </c>
      <c r="E146" s="93">
        <v>0.5</v>
      </c>
      <c r="F146" s="93">
        <v>0.25</v>
      </c>
      <c r="G146" s="93">
        <f t="shared" si="4"/>
        <v>0.25</v>
      </c>
      <c r="H146" s="93">
        <v>0.65</v>
      </c>
      <c r="I146" s="93">
        <v>0.4</v>
      </c>
      <c r="J146" s="93">
        <f t="shared" si="5"/>
        <v>0.25</v>
      </c>
      <c r="K146" s="93" t="s">
        <v>23</v>
      </c>
      <c r="L146" s="194"/>
      <c r="M146" s="195">
        <v>6</v>
      </c>
      <c r="N146" s="195">
        <v>0.5</v>
      </c>
    </row>
    <row r="147" spans="2:14" x14ac:dyDescent="0.25">
      <c r="B147" s="90"/>
      <c r="C147" s="91" t="s">
        <v>208</v>
      </c>
      <c r="D147" s="92">
        <v>1</v>
      </c>
      <c r="E147" s="93">
        <v>0.5</v>
      </c>
      <c r="F147" s="93">
        <v>0.25</v>
      </c>
      <c r="G147" s="93">
        <f t="shared" si="4"/>
        <v>0.25</v>
      </c>
      <c r="H147" s="93">
        <v>0.9</v>
      </c>
      <c r="I147" s="93">
        <v>0.65</v>
      </c>
      <c r="J147" s="93">
        <f t="shared" si="5"/>
        <v>0.25</v>
      </c>
      <c r="K147" s="93" t="s">
        <v>23</v>
      </c>
      <c r="L147" s="194"/>
      <c r="M147" s="195">
        <v>4</v>
      </c>
      <c r="N147" s="195">
        <v>0.5</v>
      </c>
    </row>
    <row r="148" spans="2:14" x14ac:dyDescent="0.25">
      <c r="B148" s="90"/>
      <c r="C148" s="91" t="s">
        <v>187</v>
      </c>
      <c r="D148" s="92">
        <v>1</v>
      </c>
      <c r="E148" s="93">
        <v>0.5</v>
      </c>
      <c r="F148" s="93">
        <v>0.25</v>
      </c>
      <c r="G148" s="93">
        <f t="shared" si="4"/>
        <v>0.25</v>
      </c>
      <c r="H148" s="93">
        <v>0.5</v>
      </c>
      <c r="I148" s="93">
        <v>0.25</v>
      </c>
      <c r="J148" s="93">
        <f t="shared" si="5"/>
        <v>0.25</v>
      </c>
      <c r="K148" s="93" t="s">
        <v>23</v>
      </c>
      <c r="L148" s="194"/>
      <c r="M148" s="195" t="s">
        <v>249</v>
      </c>
      <c r="N148" s="195">
        <v>0.5</v>
      </c>
    </row>
    <row r="149" spans="2:14" x14ac:dyDescent="0.25">
      <c r="B149" s="90"/>
      <c r="C149" s="91" t="s">
        <v>210</v>
      </c>
      <c r="D149" s="92">
        <v>1</v>
      </c>
      <c r="E149" s="93">
        <v>0.5</v>
      </c>
      <c r="F149" s="93">
        <v>0.25</v>
      </c>
      <c r="G149" s="93">
        <f t="shared" si="4"/>
        <v>0.25</v>
      </c>
      <c r="H149" s="93">
        <v>0.9</v>
      </c>
      <c r="I149" s="93">
        <v>0.65</v>
      </c>
      <c r="J149" s="93">
        <f t="shared" si="5"/>
        <v>0.25</v>
      </c>
      <c r="K149" s="93" t="s">
        <v>23</v>
      </c>
      <c r="L149" s="194"/>
      <c r="M149" s="195" t="s">
        <v>249</v>
      </c>
      <c r="N149" s="195">
        <v>0.5</v>
      </c>
    </row>
    <row r="150" spans="2:14" x14ac:dyDescent="0.25">
      <c r="D150" s="94"/>
      <c r="E150" s="95"/>
      <c r="F150" s="95"/>
      <c r="G150" s="95"/>
      <c r="H150" s="95"/>
      <c r="I150" s="95"/>
      <c r="J150" s="95"/>
      <c r="K150" s="95"/>
    </row>
    <row r="151" spans="2:14" x14ac:dyDescent="0.25">
      <c r="D151" s="94"/>
      <c r="E151" s="95"/>
      <c r="F151" s="95"/>
      <c r="G151" s="95"/>
      <c r="H151" s="95"/>
      <c r="I151" s="95"/>
      <c r="J151" s="95"/>
      <c r="K151" s="95"/>
    </row>
    <row r="152" spans="2:14" x14ac:dyDescent="0.25">
      <c r="D152" s="94"/>
      <c r="E152" s="95"/>
      <c r="F152" s="95"/>
      <c r="G152" s="95"/>
      <c r="H152" s="95"/>
      <c r="I152" s="95"/>
      <c r="J152" s="95"/>
      <c r="K152" s="95"/>
    </row>
    <row r="153" spans="2:14" x14ac:dyDescent="0.25">
      <c r="D153" s="94"/>
      <c r="E153" s="95"/>
      <c r="F153" s="95"/>
      <c r="G153" s="95"/>
      <c r="H153" s="95"/>
      <c r="I153" s="95"/>
      <c r="J153" s="95"/>
      <c r="K153" s="95"/>
    </row>
    <row r="154" spans="2:14" x14ac:dyDescent="0.25">
      <c r="D154" s="94"/>
      <c r="E154" s="95"/>
      <c r="F154" s="95"/>
      <c r="G154" s="95"/>
      <c r="H154" s="95"/>
      <c r="I154" s="95"/>
      <c r="J154" s="95"/>
      <c r="K154" s="95"/>
    </row>
    <row r="155" spans="2:14" x14ac:dyDescent="0.25">
      <c r="D155" s="94"/>
      <c r="E155" s="95"/>
      <c r="F155" s="95"/>
      <c r="G155" s="95"/>
      <c r="H155" s="95"/>
      <c r="I155" s="95"/>
      <c r="J155" s="95"/>
      <c r="K155" s="95"/>
    </row>
    <row r="156" spans="2:14" x14ac:dyDescent="0.25">
      <c r="D156" s="94"/>
      <c r="E156" s="95"/>
      <c r="F156" s="95"/>
      <c r="G156" s="95"/>
      <c r="H156" s="95"/>
      <c r="I156" s="95"/>
      <c r="J156" s="95"/>
      <c r="K156" s="95"/>
    </row>
    <row r="157" spans="2:14" x14ac:dyDescent="0.25">
      <c r="D157" s="94"/>
      <c r="E157" s="95"/>
      <c r="F157" s="95"/>
      <c r="G157" s="95"/>
      <c r="H157" s="95"/>
      <c r="I157" s="95"/>
      <c r="J157" s="95"/>
      <c r="K157" s="95"/>
    </row>
    <row r="158" spans="2:14" x14ac:dyDescent="0.25">
      <c r="D158" s="94"/>
      <c r="E158" s="95"/>
      <c r="F158" s="95"/>
      <c r="G158" s="95"/>
      <c r="H158" s="95"/>
      <c r="I158" s="95"/>
      <c r="J158" s="95"/>
      <c r="K158" s="95"/>
    </row>
    <row r="159" spans="2:14" x14ac:dyDescent="0.25">
      <c r="D159" s="94"/>
      <c r="E159" s="95"/>
      <c r="F159" s="95"/>
      <c r="G159" s="95"/>
      <c r="H159" s="95"/>
      <c r="I159" s="95"/>
      <c r="J159" s="95"/>
      <c r="K159" s="95"/>
    </row>
    <row r="160" spans="2:14" x14ac:dyDescent="0.25">
      <c r="D160" s="94"/>
      <c r="E160" s="95"/>
      <c r="F160" s="95"/>
      <c r="G160" s="95"/>
      <c r="H160" s="95"/>
      <c r="I160" s="95"/>
      <c r="J160" s="95"/>
      <c r="K160" s="95"/>
    </row>
    <row r="161" spans="4:11" x14ac:dyDescent="0.25">
      <c r="D161" s="94"/>
      <c r="E161" s="95"/>
      <c r="F161" s="95"/>
      <c r="G161" s="95"/>
      <c r="H161" s="95"/>
      <c r="I161" s="95"/>
      <c r="J161" s="95"/>
      <c r="K161" s="95"/>
    </row>
    <row r="162" spans="4:11" x14ac:dyDescent="0.25">
      <c r="D162" s="94"/>
      <c r="E162" s="95"/>
      <c r="F162" s="95"/>
      <c r="G162" s="95"/>
      <c r="H162" s="95"/>
      <c r="I162" s="95"/>
      <c r="J162" s="95"/>
      <c r="K162" s="95"/>
    </row>
    <row r="163" spans="4:11" x14ac:dyDescent="0.25">
      <c r="D163" s="94"/>
      <c r="E163" s="95"/>
      <c r="F163" s="95"/>
      <c r="G163" s="95"/>
      <c r="H163" s="95"/>
      <c r="I163" s="95"/>
      <c r="J163" s="95"/>
      <c r="K163" s="95"/>
    </row>
    <row r="164" spans="4:11" x14ac:dyDescent="0.25">
      <c r="D164" s="94"/>
      <c r="E164" s="95"/>
      <c r="F164" s="95"/>
      <c r="G164" s="95"/>
      <c r="H164" s="95"/>
      <c r="I164" s="95"/>
      <c r="J164" s="95"/>
      <c r="K164" s="95"/>
    </row>
    <row r="165" spans="4:11" x14ac:dyDescent="0.25">
      <c r="D165" s="94"/>
      <c r="E165" s="95"/>
      <c r="F165" s="95"/>
      <c r="G165" s="95"/>
      <c r="H165" s="95"/>
      <c r="I165" s="95"/>
      <c r="J165" s="95"/>
      <c r="K165" s="95"/>
    </row>
    <row r="166" spans="4:11" x14ac:dyDescent="0.25">
      <c r="D166" s="94"/>
      <c r="E166" s="95"/>
      <c r="F166" s="95"/>
      <c r="G166" s="95"/>
      <c r="H166" s="95"/>
      <c r="I166" s="95"/>
      <c r="J166" s="95"/>
      <c r="K166" s="95"/>
    </row>
    <row r="167" spans="4:11" x14ac:dyDescent="0.25">
      <c r="D167" s="94"/>
      <c r="E167" s="95"/>
      <c r="F167" s="95"/>
      <c r="G167" s="95"/>
      <c r="H167" s="95"/>
      <c r="I167" s="95"/>
      <c r="J167" s="95"/>
      <c r="K167" s="95"/>
    </row>
    <row r="168" spans="4:11" x14ac:dyDescent="0.25">
      <c r="D168" s="94"/>
      <c r="E168" s="95"/>
      <c r="F168" s="95"/>
      <c r="G168" s="95"/>
      <c r="H168" s="95"/>
      <c r="I168" s="95"/>
      <c r="J168" s="95"/>
      <c r="K168" s="95"/>
    </row>
    <row r="169" spans="4:11" x14ac:dyDescent="0.25">
      <c r="D169" s="94"/>
      <c r="E169" s="95"/>
      <c r="F169" s="95"/>
      <c r="G169" s="95"/>
      <c r="H169" s="95"/>
      <c r="I169" s="95"/>
      <c r="J169" s="95"/>
      <c r="K169" s="95"/>
    </row>
    <row r="170" spans="4:11" x14ac:dyDescent="0.25">
      <c r="D170" s="94"/>
      <c r="E170" s="95"/>
      <c r="F170" s="95"/>
      <c r="G170" s="95"/>
      <c r="H170" s="95"/>
      <c r="I170" s="95"/>
      <c r="J170" s="95"/>
      <c r="K170" s="95"/>
    </row>
    <row r="171" spans="4:11" x14ac:dyDescent="0.25">
      <c r="D171" s="94"/>
      <c r="E171" s="95"/>
      <c r="F171" s="95"/>
      <c r="G171" s="95"/>
      <c r="H171" s="95"/>
      <c r="I171" s="95"/>
      <c r="J171" s="95"/>
      <c r="K171" s="95"/>
    </row>
    <row r="172" spans="4:11" x14ac:dyDescent="0.25">
      <c r="D172" s="94"/>
      <c r="E172" s="95"/>
      <c r="F172" s="95"/>
      <c r="G172" s="95"/>
      <c r="H172" s="95"/>
      <c r="I172" s="95"/>
      <c r="J172" s="95"/>
      <c r="K172" s="95"/>
    </row>
    <row r="173" spans="4:11" x14ac:dyDescent="0.25">
      <c r="D173" s="94"/>
      <c r="E173" s="95"/>
      <c r="F173" s="95"/>
      <c r="G173" s="95"/>
      <c r="H173" s="95"/>
      <c r="I173" s="95"/>
      <c r="J173" s="95"/>
      <c r="K173" s="95"/>
    </row>
    <row r="174" spans="4:11" x14ac:dyDescent="0.25">
      <c r="D174" s="94"/>
      <c r="E174" s="95"/>
      <c r="F174" s="95"/>
      <c r="G174" s="95"/>
      <c r="H174" s="95"/>
      <c r="I174" s="95"/>
      <c r="J174" s="95"/>
      <c r="K174" s="95"/>
    </row>
    <row r="175" spans="4:11" x14ac:dyDescent="0.25">
      <c r="D175" s="94"/>
      <c r="E175" s="95"/>
      <c r="F175" s="95"/>
      <c r="G175" s="95"/>
      <c r="H175" s="95"/>
      <c r="I175" s="95"/>
      <c r="J175" s="95"/>
      <c r="K175" s="95"/>
    </row>
    <row r="176" spans="4:11" x14ac:dyDescent="0.25">
      <c r="D176" s="94"/>
      <c r="E176" s="95"/>
      <c r="F176" s="95"/>
      <c r="G176" s="95"/>
      <c r="H176" s="95"/>
      <c r="I176" s="95"/>
      <c r="J176" s="95"/>
      <c r="K176" s="95"/>
    </row>
    <row r="177" spans="4:11" x14ac:dyDescent="0.25">
      <c r="D177" s="94"/>
      <c r="E177" s="95"/>
      <c r="F177" s="95"/>
      <c r="G177" s="95"/>
      <c r="H177" s="95"/>
      <c r="I177" s="95"/>
      <c r="J177" s="95"/>
      <c r="K177" s="95"/>
    </row>
    <row r="178" spans="4:11" x14ac:dyDescent="0.25">
      <c r="D178" s="94"/>
      <c r="E178" s="95"/>
      <c r="F178" s="95"/>
      <c r="G178" s="95"/>
      <c r="H178" s="95"/>
      <c r="I178" s="95"/>
      <c r="J178" s="95"/>
      <c r="K178" s="95"/>
    </row>
    <row r="179" spans="4:11" x14ac:dyDescent="0.25">
      <c r="D179" s="94"/>
      <c r="E179" s="95"/>
      <c r="F179" s="95"/>
      <c r="G179" s="95"/>
      <c r="H179" s="95"/>
      <c r="I179" s="95"/>
      <c r="J179" s="95"/>
      <c r="K179" s="95"/>
    </row>
    <row r="180" spans="4:11" x14ac:dyDescent="0.25">
      <c r="D180" s="94"/>
      <c r="E180" s="95"/>
      <c r="F180" s="95"/>
      <c r="G180" s="95"/>
      <c r="H180" s="95"/>
      <c r="I180" s="95"/>
      <c r="J180" s="95"/>
      <c r="K180" s="95"/>
    </row>
    <row r="181" spans="4:11" x14ac:dyDescent="0.25">
      <c r="D181" s="94"/>
      <c r="E181" s="95"/>
      <c r="F181" s="95"/>
      <c r="G181" s="95"/>
      <c r="H181" s="95"/>
      <c r="I181" s="95"/>
      <c r="J181" s="95"/>
      <c r="K181" s="95"/>
    </row>
    <row r="182" spans="4:11" x14ac:dyDescent="0.25">
      <c r="D182" s="94"/>
      <c r="E182" s="95"/>
      <c r="F182" s="95"/>
      <c r="G182" s="95"/>
      <c r="H182" s="95"/>
      <c r="I182" s="95"/>
      <c r="J182" s="95"/>
      <c r="K182" s="95"/>
    </row>
    <row r="183" spans="4:11" x14ac:dyDescent="0.25">
      <c r="D183" s="94"/>
      <c r="E183" s="95"/>
      <c r="F183" s="95"/>
      <c r="G183" s="95"/>
      <c r="H183" s="95"/>
      <c r="I183" s="95"/>
      <c r="J183" s="95"/>
      <c r="K183" s="95"/>
    </row>
    <row r="184" spans="4:11" x14ac:dyDescent="0.25">
      <c r="D184" s="94"/>
      <c r="E184" s="95"/>
      <c r="F184" s="95"/>
      <c r="G184" s="95"/>
      <c r="H184" s="95"/>
      <c r="I184" s="95"/>
      <c r="J184" s="95"/>
      <c r="K184" s="95"/>
    </row>
    <row r="185" spans="4:11" x14ac:dyDescent="0.25">
      <c r="E185" s="95"/>
      <c r="F185" s="95"/>
      <c r="G185" s="95"/>
      <c r="H185" s="95"/>
      <c r="I185" s="95"/>
      <c r="J185" s="95"/>
      <c r="K185" s="95"/>
    </row>
    <row r="186" spans="4:11" x14ac:dyDescent="0.25">
      <c r="E186" s="95"/>
      <c r="F186" s="95"/>
      <c r="G186" s="95"/>
      <c r="H186" s="95"/>
      <c r="I186" s="95"/>
      <c r="J186" s="95"/>
      <c r="K186" s="95"/>
    </row>
    <row r="187" spans="4:11" x14ac:dyDescent="0.25">
      <c r="E187" s="95"/>
      <c r="F187" s="95"/>
      <c r="G187" s="95"/>
      <c r="H187" s="95"/>
      <c r="I187" s="95"/>
      <c r="J187" s="95"/>
      <c r="K187" s="95"/>
    </row>
    <row r="188" spans="4:11" x14ac:dyDescent="0.25">
      <c r="E188" s="95"/>
      <c r="F188" s="95"/>
      <c r="G188" s="95"/>
      <c r="H188" s="95"/>
      <c r="I188" s="95"/>
      <c r="J188" s="95"/>
      <c r="K188" s="95"/>
    </row>
    <row r="189" spans="4:11" x14ac:dyDescent="0.25">
      <c r="E189" s="95"/>
      <c r="F189" s="95"/>
      <c r="G189" s="95"/>
      <c r="H189" s="95"/>
      <c r="I189" s="95"/>
      <c r="J189" s="95"/>
      <c r="K189" s="95"/>
    </row>
    <row r="190" spans="4:11" x14ac:dyDescent="0.25">
      <c r="E190" s="95"/>
      <c r="F190" s="95"/>
      <c r="G190" s="95"/>
      <c r="H190" s="95"/>
      <c r="I190" s="95"/>
      <c r="J190" s="95"/>
      <c r="K190" s="95"/>
    </row>
    <row r="191" spans="4:11" x14ac:dyDescent="0.25">
      <c r="E191" s="95"/>
      <c r="F191" s="95"/>
      <c r="G191" s="95"/>
      <c r="H191" s="95"/>
      <c r="I191" s="95"/>
      <c r="J191" s="95"/>
      <c r="K191" s="95"/>
    </row>
    <row r="192" spans="4:11" x14ac:dyDescent="0.25">
      <c r="E192" s="95"/>
      <c r="F192" s="95"/>
      <c r="G192" s="95"/>
      <c r="H192" s="95"/>
      <c r="I192" s="95"/>
      <c r="J192" s="95"/>
      <c r="K192" s="95"/>
    </row>
    <row r="193" spans="5:11" x14ac:dyDescent="0.25">
      <c r="E193" s="95"/>
      <c r="F193" s="95"/>
      <c r="G193" s="95"/>
      <c r="H193" s="95"/>
      <c r="I193" s="95"/>
      <c r="J193" s="95"/>
      <c r="K193" s="95"/>
    </row>
    <row r="194" spans="5:11" x14ac:dyDescent="0.25">
      <c r="E194" s="95"/>
      <c r="F194" s="95"/>
      <c r="G194" s="95"/>
      <c r="H194" s="95"/>
      <c r="I194" s="95"/>
      <c r="J194" s="95"/>
      <c r="K194" s="95"/>
    </row>
    <row r="195" spans="5:11" x14ac:dyDescent="0.25">
      <c r="E195" s="95"/>
      <c r="F195" s="95"/>
      <c r="G195" s="95"/>
      <c r="H195" s="95"/>
      <c r="I195" s="95"/>
      <c r="J195" s="95"/>
      <c r="K195" s="95"/>
    </row>
    <row r="196" spans="5:11" x14ac:dyDescent="0.25">
      <c r="E196" s="95"/>
      <c r="F196" s="95"/>
      <c r="G196" s="95"/>
      <c r="H196" s="95"/>
      <c r="I196" s="95"/>
      <c r="J196" s="95"/>
      <c r="K196" s="95"/>
    </row>
    <row r="197" spans="5:11" x14ac:dyDescent="0.25">
      <c r="E197" s="95"/>
      <c r="F197" s="95"/>
      <c r="G197" s="95"/>
      <c r="H197" s="95"/>
      <c r="I197" s="95"/>
      <c r="J197" s="95"/>
      <c r="K197" s="95"/>
    </row>
    <row r="198" spans="5:11" x14ac:dyDescent="0.25">
      <c r="E198" s="95"/>
      <c r="F198" s="95"/>
      <c r="G198" s="95"/>
      <c r="H198" s="95"/>
      <c r="I198" s="95"/>
      <c r="J198" s="95"/>
      <c r="K198" s="95"/>
    </row>
    <row r="199" spans="5:11" x14ac:dyDescent="0.25">
      <c r="E199" s="95"/>
      <c r="F199" s="95"/>
      <c r="G199" s="95"/>
      <c r="H199" s="95"/>
      <c r="I199" s="95"/>
      <c r="J199" s="95"/>
      <c r="K199" s="95"/>
    </row>
    <row r="200" spans="5:11" x14ac:dyDescent="0.25">
      <c r="E200" s="95"/>
      <c r="F200" s="95"/>
      <c r="G200" s="95"/>
      <c r="H200" s="95"/>
      <c r="I200" s="95"/>
      <c r="J200" s="95"/>
      <c r="K200" s="95"/>
    </row>
    <row r="201" spans="5:11" x14ac:dyDescent="0.25">
      <c r="E201" s="95"/>
      <c r="F201" s="95"/>
      <c r="G201" s="95"/>
      <c r="H201" s="95"/>
      <c r="I201" s="95"/>
      <c r="J201" s="95"/>
      <c r="K201" s="95"/>
    </row>
    <row r="202" spans="5:11" x14ac:dyDescent="0.25">
      <c r="E202" s="95"/>
      <c r="F202" s="95"/>
      <c r="G202" s="95"/>
      <c r="H202" s="95"/>
      <c r="I202" s="95"/>
      <c r="J202" s="95"/>
      <c r="K202" s="95"/>
    </row>
    <row r="203" spans="5:11" x14ac:dyDescent="0.25">
      <c r="E203" s="95"/>
      <c r="F203" s="95"/>
      <c r="G203" s="95"/>
      <c r="H203" s="95"/>
      <c r="I203" s="95"/>
      <c r="J203" s="95"/>
      <c r="K203" s="95"/>
    </row>
    <row r="204" spans="5:11" x14ac:dyDescent="0.25">
      <c r="E204" s="95"/>
      <c r="F204" s="95"/>
      <c r="G204" s="95"/>
      <c r="H204" s="95"/>
      <c r="I204" s="95"/>
      <c r="J204" s="95"/>
      <c r="K204" s="95"/>
    </row>
    <row r="205" spans="5:11" x14ac:dyDescent="0.25">
      <c r="E205" s="95"/>
      <c r="F205" s="95"/>
      <c r="G205" s="95"/>
      <c r="H205" s="95"/>
      <c r="I205" s="95"/>
      <c r="J205" s="95"/>
      <c r="K205" s="95"/>
    </row>
    <row r="206" spans="5:11" x14ac:dyDescent="0.25">
      <c r="E206" s="95"/>
      <c r="F206" s="95"/>
      <c r="G206" s="95"/>
      <c r="H206" s="95"/>
      <c r="I206" s="95"/>
      <c r="J206" s="95"/>
      <c r="K206" s="95"/>
    </row>
    <row r="207" spans="5:11" x14ac:dyDescent="0.25">
      <c r="E207" s="95"/>
      <c r="F207" s="95"/>
      <c r="G207" s="95"/>
      <c r="H207" s="95"/>
      <c r="I207" s="95"/>
      <c r="J207" s="95"/>
      <c r="K207" s="95"/>
    </row>
    <row r="208" spans="5:11" x14ac:dyDescent="0.25">
      <c r="E208" s="95"/>
      <c r="F208" s="95"/>
      <c r="G208" s="95"/>
      <c r="H208" s="95"/>
      <c r="I208" s="95"/>
      <c r="J208" s="95"/>
      <c r="K208" s="95"/>
    </row>
    <row r="209" spans="5:11" x14ac:dyDescent="0.25">
      <c r="E209" s="95"/>
      <c r="F209" s="95"/>
      <c r="G209" s="95"/>
      <c r="H209" s="95"/>
      <c r="I209" s="95"/>
      <c r="J209" s="95"/>
      <c r="K209" s="95"/>
    </row>
    <row r="210" spans="5:11" x14ac:dyDescent="0.25">
      <c r="E210" s="95"/>
      <c r="F210" s="95"/>
      <c r="G210" s="95"/>
      <c r="H210" s="95"/>
      <c r="I210" s="95"/>
      <c r="J210" s="95"/>
      <c r="K210" s="95"/>
    </row>
    <row r="211" spans="5:11" x14ac:dyDescent="0.25">
      <c r="E211" s="95"/>
      <c r="F211" s="95"/>
      <c r="G211" s="95"/>
      <c r="H211" s="95"/>
      <c r="I211" s="95"/>
      <c r="J211" s="95"/>
      <c r="K211" s="95"/>
    </row>
    <row r="212" spans="5:11" x14ac:dyDescent="0.25">
      <c r="E212" s="95"/>
      <c r="F212" s="95"/>
      <c r="G212" s="95"/>
      <c r="H212" s="95"/>
      <c r="I212" s="95"/>
      <c r="J212" s="95"/>
      <c r="K212" s="95"/>
    </row>
    <row r="213" spans="5:11" x14ac:dyDescent="0.25">
      <c r="E213" s="95"/>
      <c r="F213" s="95"/>
      <c r="G213" s="95"/>
      <c r="H213" s="95"/>
      <c r="I213" s="95"/>
      <c r="J213" s="95"/>
      <c r="K213" s="95"/>
    </row>
    <row r="214" spans="5:11" x14ac:dyDescent="0.25">
      <c r="E214" s="95"/>
      <c r="F214" s="95"/>
      <c r="G214" s="95"/>
      <c r="H214" s="95"/>
      <c r="I214" s="95"/>
      <c r="J214" s="95"/>
      <c r="K214" s="95"/>
    </row>
    <row r="215" spans="5:11" x14ac:dyDescent="0.25">
      <c r="E215" s="95"/>
      <c r="F215" s="95"/>
      <c r="G215" s="95"/>
      <c r="H215" s="95"/>
      <c r="I215" s="95"/>
      <c r="J215" s="95"/>
      <c r="K215" s="95"/>
    </row>
    <row r="216" spans="5:11" x14ac:dyDescent="0.25">
      <c r="E216" s="95"/>
      <c r="F216" s="95"/>
      <c r="G216" s="95"/>
      <c r="H216" s="95"/>
      <c r="I216" s="95"/>
      <c r="J216" s="95"/>
      <c r="K216" s="95"/>
    </row>
    <row r="217" spans="5:11" x14ac:dyDescent="0.25">
      <c r="E217" s="95"/>
      <c r="F217" s="95"/>
      <c r="G217" s="95"/>
      <c r="H217" s="95"/>
      <c r="I217" s="95"/>
      <c r="J217" s="95"/>
      <c r="K217" s="95"/>
    </row>
    <row r="218" spans="5:11" x14ac:dyDescent="0.25">
      <c r="E218" s="95"/>
      <c r="F218" s="95"/>
      <c r="G218" s="95"/>
      <c r="H218" s="95"/>
      <c r="I218" s="95"/>
      <c r="J218" s="95"/>
      <c r="K218" s="95"/>
    </row>
    <row r="219" spans="5:11" x14ac:dyDescent="0.25">
      <c r="E219" s="95"/>
      <c r="F219" s="95"/>
      <c r="G219" s="95"/>
      <c r="H219" s="95"/>
      <c r="I219" s="95"/>
      <c r="J219" s="95"/>
      <c r="K219" s="95"/>
    </row>
    <row r="220" spans="5:11" x14ac:dyDescent="0.25">
      <c r="E220" s="95"/>
      <c r="F220" s="95"/>
      <c r="G220" s="95"/>
      <c r="H220" s="95"/>
      <c r="I220" s="95"/>
      <c r="J220" s="95"/>
      <c r="K220" s="95"/>
    </row>
    <row r="221" spans="5:11" x14ac:dyDescent="0.25">
      <c r="E221" s="95"/>
      <c r="F221" s="95"/>
      <c r="G221" s="95"/>
      <c r="H221" s="95"/>
      <c r="I221" s="95"/>
      <c r="J221" s="95"/>
      <c r="K221" s="95"/>
    </row>
    <row r="222" spans="5:11" x14ac:dyDescent="0.25">
      <c r="E222" s="95"/>
      <c r="F222" s="95"/>
      <c r="G222" s="95"/>
      <c r="H222" s="95"/>
      <c r="I222" s="95"/>
      <c r="J222" s="95"/>
      <c r="K222" s="95"/>
    </row>
    <row r="223" spans="5:11" x14ac:dyDescent="0.25">
      <c r="E223" s="95"/>
      <c r="F223" s="95"/>
      <c r="G223" s="95"/>
      <c r="H223" s="95"/>
      <c r="I223" s="95"/>
      <c r="J223" s="95"/>
      <c r="K223" s="95"/>
    </row>
    <row r="224" spans="5:11" x14ac:dyDescent="0.25">
      <c r="E224" s="95"/>
      <c r="F224" s="95"/>
      <c r="G224" s="95"/>
      <c r="H224" s="95"/>
      <c r="I224" s="95"/>
      <c r="J224" s="95"/>
      <c r="K224" s="95"/>
    </row>
    <row r="225" spans="5:11" x14ac:dyDescent="0.25">
      <c r="E225" s="95"/>
      <c r="F225" s="95"/>
      <c r="G225" s="95"/>
      <c r="H225" s="95"/>
      <c r="I225" s="95"/>
      <c r="J225" s="95"/>
      <c r="K225" s="95"/>
    </row>
    <row r="226" spans="5:11" x14ac:dyDescent="0.25">
      <c r="E226" s="95"/>
      <c r="F226" s="95"/>
      <c r="G226" s="95"/>
      <c r="H226" s="95"/>
      <c r="I226" s="95"/>
      <c r="J226" s="95"/>
      <c r="K226" s="95"/>
    </row>
    <row r="227" spans="5:11" x14ac:dyDescent="0.25">
      <c r="E227" s="95"/>
      <c r="F227" s="95"/>
      <c r="G227" s="95"/>
      <c r="H227" s="95"/>
      <c r="I227" s="95"/>
      <c r="J227" s="95"/>
      <c r="K227" s="95"/>
    </row>
    <row r="228" spans="5:11" x14ac:dyDescent="0.25">
      <c r="E228" s="95"/>
      <c r="F228" s="95"/>
      <c r="G228" s="95"/>
      <c r="H228" s="95"/>
      <c r="I228" s="95"/>
      <c r="J228" s="95"/>
      <c r="K228" s="95"/>
    </row>
    <row r="229" spans="5:11" x14ac:dyDescent="0.25">
      <c r="E229" s="95"/>
      <c r="F229" s="95"/>
      <c r="G229" s="95"/>
      <c r="H229" s="95"/>
      <c r="I229" s="95"/>
      <c r="J229" s="95"/>
      <c r="K229" s="95"/>
    </row>
    <row r="230" spans="5:11" x14ac:dyDescent="0.25">
      <c r="E230" s="95"/>
      <c r="F230" s="95"/>
      <c r="G230" s="95"/>
      <c r="H230" s="95"/>
      <c r="I230" s="95"/>
      <c r="J230" s="95"/>
      <c r="K230" s="95"/>
    </row>
    <row r="231" spans="5:11" x14ac:dyDescent="0.25">
      <c r="E231" s="95"/>
      <c r="F231" s="95"/>
      <c r="G231" s="95"/>
      <c r="H231" s="95"/>
      <c r="I231" s="95"/>
      <c r="J231" s="95"/>
      <c r="K231" s="95"/>
    </row>
    <row r="232" spans="5:11" x14ac:dyDescent="0.25">
      <c r="E232" s="95"/>
      <c r="F232" s="95"/>
      <c r="G232" s="95"/>
      <c r="H232" s="95"/>
      <c r="I232" s="95"/>
      <c r="J232" s="95"/>
      <c r="K232" s="95"/>
    </row>
    <row r="233" spans="5:11" x14ac:dyDescent="0.25">
      <c r="E233" s="95"/>
      <c r="F233" s="95"/>
      <c r="G233" s="95"/>
      <c r="H233" s="95"/>
      <c r="I233" s="95"/>
      <c r="J233" s="95"/>
      <c r="K233" s="95"/>
    </row>
    <row r="234" spans="5:11" x14ac:dyDescent="0.25">
      <c r="E234" s="95"/>
      <c r="F234" s="95"/>
      <c r="G234" s="95"/>
      <c r="H234" s="95"/>
      <c r="I234" s="95"/>
      <c r="J234" s="95"/>
      <c r="K234" s="95"/>
    </row>
    <row r="235" spans="5:11" x14ac:dyDescent="0.25">
      <c r="E235" s="95"/>
      <c r="F235" s="95"/>
      <c r="G235" s="95"/>
      <c r="H235" s="95"/>
      <c r="I235" s="95"/>
      <c r="J235" s="95"/>
      <c r="K235" s="95"/>
    </row>
    <row r="236" spans="5:11" x14ac:dyDescent="0.25">
      <c r="E236" s="95"/>
      <c r="F236" s="95"/>
      <c r="G236" s="95"/>
      <c r="H236" s="95"/>
      <c r="I236" s="95"/>
      <c r="J236" s="95"/>
      <c r="K236" s="95"/>
    </row>
    <row r="237" spans="5:11" x14ac:dyDescent="0.25">
      <c r="E237" s="95"/>
      <c r="F237" s="95"/>
      <c r="G237" s="95"/>
      <c r="H237" s="95"/>
      <c r="I237" s="95"/>
      <c r="J237" s="95"/>
      <c r="K237" s="95"/>
    </row>
    <row r="238" spans="5:11" x14ac:dyDescent="0.25">
      <c r="E238" s="95"/>
      <c r="F238" s="95"/>
      <c r="G238" s="95"/>
      <c r="H238" s="95"/>
      <c r="I238" s="95"/>
      <c r="J238" s="95"/>
      <c r="K238" s="95"/>
    </row>
    <row r="239" spans="5:11" x14ac:dyDescent="0.25">
      <c r="E239" s="95"/>
      <c r="F239" s="95"/>
      <c r="G239" s="95"/>
      <c r="H239" s="95"/>
      <c r="I239" s="95"/>
      <c r="J239" s="95"/>
      <c r="K239" s="95"/>
    </row>
    <row r="240" spans="5:11" x14ac:dyDescent="0.25">
      <c r="E240" s="95"/>
      <c r="F240" s="95"/>
      <c r="G240" s="95"/>
      <c r="H240" s="95"/>
      <c r="I240" s="95"/>
      <c r="J240" s="95"/>
      <c r="K240" s="95"/>
    </row>
    <row r="241" spans="5:11" x14ac:dyDescent="0.25">
      <c r="E241" s="95"/>
      <c r="F241" s="95"/>
      <c r="G241" s="95"/>
      <c r="H241" s="95"/>
      <c r="I241" s="95"/>
      <c r="J241" s="95"/>
      <c r="K241" s="95"/>
    </row>
    <row r="242" spans="5:11" x14ac:dyDescent="0.25">
      <c r="E242" s="95"/>
      <c r="F242" s="95"/>
      <c r="G242" s="95"/>
      <c r="H242" s="95"/>
      <c r="I242" s="95"/>
      <c r="J242" s="95"/>
      <c r="K242" s="95"/>
    </row>
    <row r="243" spans="5:11" x14ac:dyDescent="0.25">
      <c r="E243" s="95"/>
      <c r="F243" s="95"/>
      <c r="G243" s="95"/>
      <c r="H243" s="95"/>
      <c r="I243" s="95"/>
      <c r="J243" s="95"/>
      <c r="K243" s="95"/>
    </row>
    <row r="244" spans="5:11" x14ac:dyDescent="0.25">
      <c r="E244" s="95"/>
      <c r="F244" s="95"/>
      <c r="G244" s="95"/>
      <c r="H244" s="95"/>
      <c r="I244" s="95"/>
      <c r="J244" s="95"/>
      <c r="K244" s="95"/>
    </row>
    <row r="245" spans="5:11" x14ac:dyDescent="0.25">
      <c r="E245" s="95"/>
      <c r="F245" s="95"/>
      <c r="G245" s="95"/>
      <c r="H245" s="95"/>
      <c r="I245" s="95"/>
      <c r="J245" s="95"/>
      <c r="K245" s="95"/>
    </row>
    <row r="246" spans="5:11" x14ac:dyDescent="0.25">
      <c r="E246" s="95"/>
      <c r="F246" s="95"/>
      <c r="G246" s="95"/>
      <c r="H246" s="95"/>
      <c r="I246" s="95"/>
      <c r="J246" s="95"/>
      <c r="K246" s="95"/>
    </row>
    <row r="247" spans="5:11" x14ac:dyDescent="0.25">
      <c r="E247" s="95"/>
      <c r="F247" s="95"/>
      <c r="G247" s="95"/>
      <c r="H247" s="95"/>
      <c r="I247" s="95"/>
      <c r="J247" s="95"/>
      <c r="K247" s="95"/>
    </row>
    <row r="248" spans="5:11" x14ac:dyDescent="0.25">
      <c r="E248" s="95"/>
      <c r="F248" s="95"/>
      <c r="G248" s="95"/>
      <c r="H248" s="95"/>
      <c r="I248" s="95"/>
      <c r="J248" s="95"/>
      <c r="K248" s="95"/>
    </row>
    <row r="249" spans="5:11" x14ac:dyDescent="0.25">
      <c r="E249" s="95"/>
      <c r="F249" s="95"/>
      <c r="G249" s="95"/>
      <c r="H249" s="95"/>
      <c r="I249" s="95"/>
      <c r="J249" s="95"/>
      <c r="K249" s="95"/>
    </row>
    <row r="250" spans="5:11" x14ac:dyDescent="0.25">
      <c r="E250" s="95"/>
      <c r="F250" s="95"/>
      <c r="G250" s="95"/>
      <c r="H250" s="95"/>
      <c r="I250" s="95"/>
      <c r="J250" s="95"/>
      <c r="K250" s="95"/>
    </row>
    <row r="251" spans="5:11" x14ac:dyDescent="0.25">
      <c r="E251" s="95"/>
      <c r="F251" s="95"/>
      <c r="G251" s="95"/>
      <c r="H251" s="95"/>
      <c r="I251" s="95"/>
      <c r="J251" s="95"/>
      <c r="K251" s="95"/>
    </row>
    <row r="252" spans="5:11" x14ac:dyDescent="0.25">
      <c r="E252" s="95"/>
      <c r="F252" s="95"/>
      <c r="G252" s="95"/>
      <c r="H252" s="95"/>
      <c r="I252" s="95"/>
      <c r="J252" s="95"/>
      <c r="K252" s="95"/>
    </row>
    <row r="253" spans="5:11" x14ac:dyDescent="0.25">
      <c r="E253" s="95"/>
      <c r="F253" s="95"/>
      <c r="G253" s="95"/>
      <c r="H253" s="95"/>
      <c r="I253" s="95"/>
      <c r="J253" s="95"/>
      <c r="K253" s="95"/>
    </row>
    <row r="254" spans="5:11" x14ac:dyDescent="0.25">
      <c r="E254" s="95"/>
      <c r="F254" s="95"/>
      <c r="G254" s="95"/>
      <c r="H254" s="95"/>
      <c r="I254" s="95"/>
      <c r="J254" s="95"/>
      <c r="K254" s="95"/>
    </row>
    <row r="255" spans="5:11" x14ac:dyDescent="0.25">
      <c r="E255" s="95"/>
      <c r="F255" s="95"/>
      <c r="G255" s="95"/>
      <c r="H255" s="95"/>
      <c r="I255" s="95"/>
      <c r="J255" s="95"/>
      <c r="K255" s="95"/>
    </row>
    <row r="256" spans="5:11" x14ac:dyDescent="0.25">
      <c r="E256" s="95"/>
      <c r="F256" s="95"/>
      <c r="G256" s="95"/>
      <c r="H256" s="95"/>
      <c r="I256" s="95"/>
      <c r="J256" s="95"/>
      <c r="K256" s="95"/>
    </row>
    <row r="257" spans="5:11" x14ac:dyDescent="0.25">
      <c r="E257" s="95"/>
      <c r="F257" s="95"/>
      <c r="G257" s="95"/>
      <c r="H257" s="95"/>
      <c r="I257" s="95"/>
      <c r="J257" s="95"/>
      <c r="K257" s="95"/>
    </row>
    <row r="258" spans="5:11" x14ac:dyDescent="0.25">
      <c r="E258" s="95"/>
      <c r="F258" s="95"/>
      <c r="G258" s="95"/>
      <c r="H258" s="95"/>
      <c r="I258" s="95"/>
      <c r="J258" s="95"/>
      <c r="K258" s="95"/>
    </row>
    <row r="259" spans="5:11" x14ac:dyDescent="0.25">
      <c r="E259" s="95"/>
      <c r="F259" s="95"/>
      <c r="G259" s="95"/>
      <c r="H259" s="95"/>
      <c r="I259" s="95"/>
      <c r="J259" s="95"/>
      <c r="K259" s="95"/>
    </row>
    <row r="260" spans="5:11" x14ac:dyDescent="0.25">
      <c r="E260" s="95"/>
      <c r="F260" s="95"/>
      <c r="G260" s="95"/>
      <c r="H260" s="95"/>
      <c r="I260" s="95"/>
      <c r="J260" s="95"/>
      <c r="K260" s="95"/>
    </row>
    <row r="261" spans="5:11" x14ac:dyDescent="0.25">
      <c r="E261" s="95"/>
      <c r="F261" s="95"/>
      <c r="G261" s="95"/>
      <c r="H261" s="95"/>
      <c r="I261" s="95"/>
      <c r="J261" s="95"/>
      <c r="K261" s="95"/>
    </row>
    <row r="262" spans="5:11" x14ac:dyDescent="0.25">
      <c r="E262" s="95"/>
      <c r="F262" s="95"/>
      <c r="G262" s="95"/>
      <c r="H262" s="95"/>
      <c r="I262" s="95"/>
      <c r="J262" s="95"/>
      <c r="K262" s="95"/>
    </row>
    <row r="263" spans="5:11" x14ac:dyDescent="0.25">
      <c r="E263" s="95"/>
      <c r="F263" s="95"/>
      <c r="G263" s="95"/>
      <c r="H263" s="95"/>
      <c r="I263" s="95"/>
      <c r="J263" s="95"/>
      <c r="K263" s="95"/>
    </row>
    <row r="264" spans="5:11" x14ac:dyDescent="0.25">
      <c r="E264" s="95"/>
      <c r="F264" s="95"/>
      <c r="G264" s="95"/>
      <c r="H264" s="95"/>
      <c r="I264" s="95"/>
      <c r="J264" s="95"/>
      <c r="K264" s="95"/>
    </row>
    <row r="265" spans="5:11" x14ac:dyDescent="0.25">
      <c r="E265" s="95"/>
      <c r="F265" s="95"/>
      <c r="G265" s="95"/>
      <c r="H265" s="95"/>
      <c r="I265" s="95"/>
      <c r="J265" s="95"/>
      <c r="K265" s="95"/>
    </row>
    <row r="266" spans="5:11" x14ac:dyDescent="0.25">
      <c r="E266" s="95"/>
      <c r="F266" s="95"/>
      <c r="G266" s="95"/>
      <c r="H266" s="95"/>
      <c r="I266" s="95"/>
      <c r="J266" s="95"/>
      <c r="K266" s="95"/>
    </row>
    <row r="267" spans="5:11" x14ac:dyDescent="0.25">
      <c r="E267" s="95"/>
      <c r="F267" s="95"/>
      <c r="G267" s="95"/>
      <c r="H267" s="95"/>
      <c r="I267" s="95"/>
      <c r="J267" s="95"/>
      <c r="K267" s="95"/>
    </row>
    <row r="268" spans="5:11" x14ac:dyDescent="0.25">
      <c r="E268" s="95"/>
      <c r="F268" s="95"/>
      <c r="G268" s="95"/>
      <c r="H268" s="95"/>
      <c r="I268" s="95"/>
      <c r="J268" s="95"/>
      <c r="K268" s="95"/>
    </row>
  </sheetData>
  <mergeCells count="5">
    <mergeCell ref="A1:L1"/>
    <mergeCell ref="A2:C2"/>
    <mergeCell ref="D2:G2"/>
    <mergeCell ref="P2:Q2"/>
    <mergeCell ref="H2:N2"/>
  </mergeCells>
  <pageMargins left="0.7" right="0.7" top="0.75" bottom="0.75" header="0.3" footer="0.3"/>
  <pageSetup scale="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topLeftCell="A43" workbookViewId="0">
      <selection activeCell="H65" sqref="H65"/>
    </sheetView>
  </sheetViews>
  <sheetFormatPr defaultRowHeight="15" x14ac:dyDescent="0.25"/>
  <cols>
    <col min="1" max="3" width="9.140625" style="204"/>
    <col min="4" max="4" width="13.42578125" style="205" bestFit="1" customWidth="1"/>
  </cols>
  <sheetData>
    <row r="1" spans="1:4" ht="15.75" thickBot="1" x14ac:dyDescent="0.3">
      <c r="A1" s="218" t="s">
        <v>6</v>
      </c>
      <c r="B1" s="219" t="s">
        <v>259</v>
      </c>
      <c r="C1" s="219" t="s">
        <v>261</v>
      </c>
      <c r="D1" s="220" t="s">
        <v>260</v>
      </c>
    </row>
    <row r="2" spans="1:4" x14ac:dyDescent="0.25">
      <c r="A2" s="215">
        <v>100</v>
      </c>
      <c r="B2" s="216">
        <v>2</v>
      </c>
      <c r="C2" s="216">
        <v>6</v>
      </c>
      <c r="D2" s="217">
        <f>21/25.4</f>
        <v>0.82677165354330717</v>
      </c>
    </row>
    <row r="3" spans="1:4" x14ac:dyDescent="0.25">
      <c r="A3" s="208"/>
      <c r="B3" s="206">
        <v>3.5</v>
      </c>
      <c r="C3" s="206">
        <v>11</v>
      </c>
      <c r="D3" s="209">
        <f>41/25.4</f>
        <v>1.6141732283464567</v>
      </c>
    </row>
    <row r="4" spans="1:4" x14ac:dyDescent="0.25">
      <c r="A4" s="208"/>
      <c r="B4" s="206">
        <v>6.1</v>
      </c>
      <c r="C4" s="206">
        <v>19</v>
      </c>
      <c r="D4" s="209">
        <f>73/25.4</f>
        <v>2.8740157480314963</v>
      </c>
    </row>
    <row r="5" spans="1:4" x14ac:dyDescent="0.25">
      <c r="A5" s="210">
        <v>200</v>
      </c>
      <c r="B5" s="207">
        <v>4</v>
      </c>
      <c r="C5" s="207">
        <v>6</v>
      </c>
      <c r="D5" s="211">
        <f>43/25.4</f>
        <v>1.6929133858267718</v>
      </c>
    </row>
    <row r="6" spans="1:4" x14ac:dyDescent="0.25">
      <c r="A6" s="210"/>
      <c r="B6" s="207">
        <v>6.4</v>
      </c>
      <c r="C6" s="207">
        <v>10</v>
      </c>
      <c r="D6" s="211">
        <f>74/25.4</f>
        <v>2.9133858267716537</v>
      </c>
    </row>
    <row r="7" spans="1:4" x14ac:dyDescent="0.25">
      <c r="A7" s="210"/>
      <c r="B7" s="207">
        <v>10.1</v>
      </c>
      <c r="C7" s="207">
        <v>16</v>
      </c>
      <c r="D7" s="211">
        <f>122/25.4</f>
        <v>4.8031496062992129</v>
      </c>
    </row>
    <row r="8" spans="1:4" x14ac:dyDescent="0.25">
      <c r="A8" s="208">
        <v>400</v>
      </c>
      <c r="B8" s="206">
        <v>4</v>
      </c>
      <c r="C8" s="206">
        <v>6</v>
      </c>
      <c r="D8" s="209">
        <f>43/25.4</f>
        <v>1.6929133858267718</v>
      </c>
    </row>
    <row r="9" spans="1:4" x14ac:dyDescent="0.25">
      <c r="A9" s="208"/>
      <c r="B9" s="206">
        <v>5.2</v>
      </c>
      <c r="C9" s="206">
        <v>8</v>
      </c>
      <c r="D9" s="209">
        <f>58/25.4</f>
        <v>2.2834645669291338</v>
      </c>
    </row>
    <row r="10" spans="1:4" x14ac:dyDescent="0.25">
      <c r="A10" s="208"/>
      <c r="B10" s="206">
        <v>6.4</v>
      </c>
      <c r="C10" s="206">
        <v>10</v>
      </c>
      <c r="D10" s="209">
        <f>74/25.4</f>
        <v>2.9133858267716537</v>
      </c>
    </row>
    <row r="11" spans="1:4" x14ac:dyDescent="0.25">
      <c r="A11" s="208"/>
      <c r="B11" s="206">
        <v>7.8</v>
      </c>
      <c r="C11" s="206">
        <v>12</v>
      </c>
      <c r="D11" s="209">
        <f>90/25.4</f>
        <v>3.5433070866141736</v>
      </c>
    </row>
    <row r="12" spans="1:4" x14ac:dyDescent="0.25">
      <c r="A12" s="208"/>
      <c r="B12" s="206">
        <v>10.1</v>
      </c>
      <c r="C12" s="206">
        <v>16</v>
      </c>
      <c r="D12" s="209">
        <f>122/25.4</f>
        <v>4.8031496062992129</v>
      </c>
    </row>
    <row r="13" spans="1:4" x14ac:dyDescent="0.25">
      <c r="A13" s="210">
        <v>550</v>
      </c>
      <c r="B13" s="207">
        <v>2.4</v>
      </c>
      <c r="C13" s="207">
        <v>24</v>
      </c>
      <c r="D13" s="211">
        <f>28/25.4</f>
        <v>1.1023622047244095</v>
      </c>
    </row>
    <row r="14" spans="1:4" x14ac:dyDescent="0.25">
      <c r="A14" s="210"/>
      <c r="B14" s="207">
        <v>3.2</v>
      </c>
      <c r="C14" s="207">
        <v>32</v>
      </c>
      <c r="D14" s="211">
        <f>38/25.4</f>
        <v>1.4960629921259843</v>
      </c>
    </row>
    <row r="15" spans="1:4" x14ac:dyDescent="0.25">
      <c r="A15" s="208">
        <v>800</v>
      </c>
      <c r="B15" s="206">
        <v>4</v>
      </c>
      <c r="C15" s="206">
        <v>6</v>
      </c>
      <c r="D15" s="209">
        <f>43/25.4</f>
        <v>1.6929133858267718</v>
      </c>
    </row>
    <row r="16" spans="1:4" x14ac:dyDescent="0.25">
      <c r="A16" s="208"/>
      <c r="B16" s="206">
        <v>5.2</v>
      </c>
      <c r="C16" s="206">
        <v>8</v>
      </c>
      <c r="D16" s="209">
        <f>58/25.4</f>
        <v>2.2834645669291338</v>
      </c>
    </row>
    <row r="17" spans="1:4" x14ac:dyDescent="0.25">
      <c r="A17" s="208"/>
      <c r="B17" s="206">
        <v>6.5</v>
      </c>
      <c r="C17" s="206">
        <v>10</v>
      </c>
      <c r="D17" s="209">
        <f>75/25.4</f>
        <v>2.9527559055118111</v>
      </c>
    </row>
    <row r="18" spans="1:4" x14ac:dyDescent="0.25">
      <c r="A18" s="208"/>
      <c r="B18" s="206">
        <v>7.7</v>
      </c>
      <c r="C18" s="206">
        <v>12</v>
      </c>
      <c r="D18" s="209">
        <f>90/25.4</f>
        <v>3.5433070866141736</v>
      </c>
    </row>
    <row r="19" spans="1:4" x14ac:dyDescent="0.25">
      <c r="A19" s="208"/>
      <c r="B19" s="206">
        <v>10.3</v>
      </c>
      <c r="C19" s="206">
        <v>16</v>
      </c>
      <c r="D19" s="209">
        <f>123/25.4</f>
        <v>4.8425196850393704</v>
      </c>
    </row>
    <row r="20" spans="1:4" x14ac:dyDescent="0.25">
      <c r="A20" s="210">
        <v>850</v>
      </c>
      <c r="B20" s="207">
        <v>4</v>
      </c>
      <c r="C20" s="207">
        <v>6</v>
      </c>
      <c r="D20" s="211">
        <f>43/25.4</f>
        <v>1.6929133858267718</v>
      </c>
    </row>
    <row r="21" spans="1:4" x14ac:dyDescent="0.25">
      <c r="A21" s="210"/>
      <c r="B21" s="207">
        <v>5.2</v>
      </c>
      <c r="C21" s="207">
        <v>8</v>
      </c>
      <c r="D21" s="211">
        <f>58/25.4</f>
        <v>2.2834645669291338</v>
      </c>
    </row>
    <row r="22" spans="1:4" x14ac:dyDescent="0.25">
      <c r="A22" s="210"/>
      <c r="B22" s="207">
        <v>6.5</v>
      </c>
      <c r="C22" s="207">
        <v>10</v>
      </c>
      <c r="D22" s="211">
        <f>75/25.4</f>
        <v>2.9527559055118111</v>
      </c>
    </row>
    <row r="23" spans="1:4" x14ac:dyDescent="0.25">
      <c r="A23" s="210"/>
      <c r="B23" s="207">
        <v>7.7</v>
      </c>
      <c r="C23" s="207">
        <v>12</v>
      </c>
      <c r="D23" s="211">
        <f>90/25.4</f>
        <v>3.5433070866141736</v>
      </c>
    </row>
    <row r="24" spans="1:4" x14ac:dyDescent="0.25">
      <c r="A24" s="210"/>
      <c r="B24" s="207">
        <v>10.3</v>
      </c>
      <c r="C24" s="207">
        <v>16</v>
      </c>
      <c r="D24" s="211">
        <f>123/25.4</f>
        <v>4.8425196850393704</v>
      </c>
    </row>
    <row r="25" spans="1:4" x14ac:dyDescent="0.25">
      <c r="A25" s="208">
        <v>888</v>
      </c>
      <c r="B25" s="206">
        <v>6.5</v>
      </c>
      <c r="C25" s="206">
        <v>10</v>
      </c>
      <c r="D25" s="209">
        <f>74/25.4</f>
        <v>2.9133858267716537</v>
      </c>
    </row>
    <row r="26" spans="1:4" x14ac:dyDescent="0.25">
      <c r="A26" s="208"/>
      <c r="B26" s="206">
        <v>7.78</v>
      </c>
      <c r="C26" s="206">
        <v>12</v>
      </c>
      <c r="D26" s="209">
        <f>90/25.4</f>
        <v>3.5433070866141736</v>
      </c>
    </row>
    <row r="27" spans="1:4" x14ac:dyDescent="0.25">
      <c r="A27" s="210">
        <v>900</v>
      </c>
      <c r="B27" s="207">
        <v>2.1</v>
      </c>
      <c r="C27" s="207">
        <v>6</v>
      </c>
      <c r="D27" s="211">
        <f>23/25.4</f>
        <v>0.9055118110236221</v>
      </c>
    </row>
    <row r="28" spans="1:4" x14ac:dyDescent="0.25">
      <c r="A28" s="210"/>
      <c r="B28" s="207">
        <v>3.1</v>
      </c>
      <c r="C28" s="207">
        <v>9</v>
      </c>
      <c r="D28" s="211">
        <f>35/25.4</f>
        <v>1.3779527559055118</v>
      </c>
    </row>
    <row r="29" spans="1:4" x14ac:dyDescent="0.25">
      <c r="A29" s="210"/>
      <c r="B29" s="207">
        <v>3.5</v>
      </c>
      <c r="C29" s="207">
        <v>10</v>
      </c>
      <c r="D29" s="211">
        <f>40/25.4</f>
        <v>1.5748031496062993</v>
      </c>
    </row>
    <row r="30" spans="1:4" x14ac:dyDescent="0.25">
      <c r="A30" s="210"/>
      <c r="B30" s="207">
        <v>4.0999999999999996</v>
      </c>
      <c r="C30" s="207">
        <v>12</v>
      </c>
      <c r="D30" s="211">
        <f>48/25.4</f>
        <v>1.8897637795275593</v>
      </c>
    </row>
    <row r="31" spans="1:4" x14ac:dyDescent="0.25">
      <c r="A31" s="210"/>
      <c r="B31" s="207">
        <v>5.8</v>
      </c>
      <c r="C31" s="207">
        <v>17</v>
      </c>
      <c r="D31" s="211">
        <f>61/25.4</f>
        <v>2.4015748031496065</v>
      </c>
    </row>
    <row r="32" spans="1:4" x14ac:dyDescent="0.25">
      <c r="A32" s="210"/>
      <c r="B32" s="207">
        <v>6.1</v>
      </c>
      <c r="C32" s="207">
        <v>18</v>
      </c>
      <c r="D32" s="211">
        <f>70/25.4</f>
        <v>2.7559055118110236</v>
      </c>
    </row>
    <row r="33" spans="1:4" x14ac:dyDescent="0.25">
      <c r="A33" s="210"/>
      <c r="B33" s="207">
        <v>6.8</v>
      </c>
      <c r="C33" s="207">
        <v>20</v>
      </c>
      <c r="D33" s="211">
        <f>82/25.4</f>
        <v>3.2283464566929134</v>
      </c>
    </row>
    <row r="34" spans="1:4" x14ac:dyDescent="0.25">
      <c r="A34" s="210"/>
      <c r="B34" s="207">
        <v>9.8000000000000007</v>
      </c>
      <c r="C34" s="207">
        <v>28</v>
      </c>
      <c r="D34" s="211">
        <f>116/25.4</f>
        <v>4.5669291338582676</v>
      </c>
    </row>
    <row r="35" spans="1:4" x14ac:dyDescent="0.25">
      <c r="A35" s="208">
        <v>1000</v>
      </c>
      <c r="B35" s="206">
        <v>3.1</v>
      </c>
      <c r="C35" s="206">
        <v>16</v>
      </c>
      <c r="D35" s="209">
        <f>35/25.4</f>
        <v>1.3779527559055118</v>
      </c>
    </row>
    <row r="36" spans="1:4" x14ac:dyDescent="0.25">
      <c r="A36" s="208"/>
      <c r="B36" s="206">
        <v>4.5999999999999996</v>
      </c>
      <c r="C36" s="206">
        <v>24</v>
      </c>
      <c r="D36" s="209">
        <f>54/25.4</f>
        <v>2.1259842519685042</v>
      </c>
    </row>
    <row r="37" spans="1:4" x14ac:dyDescent="0.25">
      <c r="A37" s="208"/>
      <c r="B37" s="206">
        <v>6.1</v>
      </c>
      <c r="C37" s="206">
        <v>32</v>
      </c>
      <c r="D37" s="209">
        <f>73/25.4</f>
        <v>2.8740157480314963</v>
      </c>
    </row>
    <row r="38" spans="1:4" x14ac:dyDescent="0.25">
      <c r="A38" s="210">
        <v>1100</v>
      </c>
      <c r="B38" s="207">
        <v>1.6</v>
      </c>
      <c r="C38" s="207">
        <v>8</v>
      </c>
      <c r="D38" s="211">
        <f>15/25.4</f>
        <v>0.59055118110236227</v>
      </c>
    </row>
    <row r="39" spans="1:4" x14ac:dyDescent="0.25">
      <c r="A39" s="210"/>
      <c r="B39" s="207">
        <v>2.2999999999999998</v>
      </c>
      <c r="C39" s="207">
        <v>12</v>
      </c>
      <c r="D39" s="211">
        <f>25/25.4</f>
        <v>0.98425196850393704</v>
      </c>
    </row>
    <row r="40" spans="1:4" x14ac:dyDescent="0.25">
      <c r="A40" s="210"/>
      <c r="B40" s="207">
        <v>3.1</v>
      </c>
      <c r="C40" s="207">
        <v>16</v>
      </c>
      <c r="D40" s="211">
        <f>33/25.4</f>
        <v>1.299212598425197</v>
      </c>
    </row>
    <row r="41" spans="1:4" x14ac:dyDescent="0.25">
      <c r="A41" s="210"/>
      <c r="B41" s="207">
        <v>3.5</v>
      </c>
      <c r="C41" s="207">
        <v>18</v>
      </c>
      <c r="D41" s="211">
        <f>38/25.4</f>
        <v>1.4960629921259843</v>
      </c>
    </row>
    <row r="42" spans="1:4" x14ac:dyDescent="0.25">
      <c r="A42" s="210"/>
      <c r="B42" s="207">
        <v>3.8</v>
      </c>
      <c r="C42" s="207">
        <v>20</v>
      </c>
      <c r="D42" s="211">
        <f>43/25.4</f>
        <v>1.6929133858267718</v>
      </c>
    </row>
    <row r="43" spans="1:4" x14ac:dyDescent="0.25">
      <c r="A43" s="210"/>
      <c r="B43" s="207">
        <v>4.5999999999999996</v>
      </c>
      <c r="C43" s="207">
        <v>24</v>
      </c>
      <c r="D43" s="211">
        <f>53/25.4</f>
        <v>2.0866141732283467</v>
      </c>
    </row>
    <row r="44" spans="1:4" x14ac:dyDescent="0.25">
      <c r="A44" s="210"/>
      <c r="B44" s="207">
        <v>5.0999999999999996</v>
      </c>
      <c r="C44" s="207">
        <v>26</v>
      </c>
      <c r="D44" s="211">
        <f>58/25.4</f>
        <v>2.2834645669291338</v>
      </c>
    </row>
    <row r="45" spans="1:4" x14ac:dyDescent="0.25">
      <c r="A45" s="210"/>
      <c r="B45" s="207">
        <v>6.1</v>
      </c>
      <c r="C45" s="207">
        <v>32</v>
      </c>
      <c r="D45" s="211">
        <f>72/25.4</f>
        <v>2.8346456692913389</v>
      </c>
    </row>
    <row r="46" spans="1:4" x14ac:dyDescent="0.25">
      <c r="A46" s="208">
        <v>1200</v>
      </c>
      <c r="B46" s="206">
        <v>5.6</v>
      </c>
      <c r="C46" s="206">
        <v>12</v>
      </c>
      <c r="D46" s="209">
        <f>61/25.4</f>
        <v>2.4015748031496065</v>
      </c>
    </row>
    <row r="47" spans="1:4" x14ac:dyDescent="0.25">
      <c r="A47" s="208"/>
      <c r="B47" s="206">
        <v>6.5</v>
      </c>
      <c r="C47" s="206">
        <v>14</v>
      </c>
      <c r="D47" s="209">
        <f>73/25.4</f>
        <v>2.8740157480314963</v>
      </c>
    </row>
    <row r="48" spans="1:4" x14ac:dyDescent="0.25">
      <c r="A48" s="208"/>
      <c r="B48" s="206">
        <v>7.9</v>
      </c>
      <c r="C48" s="206">
        <v>17</v>
      </c>
      <c r="D48" s="209">
        <f>90/25.4</f>
        <v>3.5433070866141736</v>
      </c>
    </row>
    <row r="49" spans="1:4" x14ac:dyDescent="0.25">
      <c r="A49" s="208"/>
      <c r="B49" s="206">
        <v>10.199999999999999</v>
      </c>
      <c r="C49" s="206">
        <v>22</v>
      </c>
      <c r="D49" s="209">
        <f>119/25.4</f>
        <v>4.6850393700787407</v>
      </c>
    </row>
    <row r="50" spans="1:4" x14ac:dyDescent="0.25">
      <c r="A50" s="210">
        <v>1400</v>
      </c>
      <c r="B50" s="207">
        <v>3.9</v>
      </c>
      <c r="C50" s="207">
        <v>12</v>
      </c>
      <c r="D50" s="211">
        <f>43/25.4</f>
        <v>1.6929133858267718</v>
      </c>
    </row>
    <row r="51" spans="1:4" x14ac:dyDescent="0.25">
      <c r="A51" s="210"/>
      <c r="B51" s="207">
        <v>4.9000000000000004</v>
      </c>
      <c r="C51" s="207">
        <v>15</v>
      </c>
      <c r="D51" s="211">
        <f>55/25.4</f>
        <v>2.1653543307086616</v>
      </c>
    </row>
    <row r="52" spans="1:4" x14ac:dyDescent="0.25">
      <c r="A52" s="210"/>
      <c r="B52" s="207">
        <v>5.0999999999999996</v>
      </c>
      <c r="C52" s="207">
        <v>16</v>
      </c>
      <c r="D52" s="211">
        <f>59/25.4</f>
        <v>2.3228346456692917</v>
      </c>
    </row>
    <row r="53" spans="1:4" x14ac:dyDescent="0.25">
      <c r="A53" s="210"/>
      <c r="B53" s="207">
        <v>5.7</v>
      </c>
      <c r="C53" s="207">
        <v>18</v>
      </c>
      <c r="D53" s="211">
        <f>67/25.4</f>
        <v>2.6377952755905514</v>
      </c>
    </row>
    <row r="54" spans="1:4" x14ac:dyDescent="0.25">
      <c r="A54" s="210"/>
      <c r="B54" s="207">
        <v>6.7</v>
      </c>
      <c r="C54" s="207">
        <v>21</v>
      </c>
      <c r="D54" s="211">
        <f>79/25.4</f>
        <v>3.1102362204724412</v>
      </c>
    </row>
    <row r="55" spans="1:4" x14ac:dyDescent="0.25">
      <c r="A55" s="210"/>
      <c r="B55" s="207">
        <v>7.7</v>
      </c>
      <c r="C55" s="207">
        <v>24</v>
      </c>
      <c r="D55" s="211">
        <f>91/25.4</f>
        <v>3.582677165354331</v>
      </c>
    </row>
    <row r="56" spans="1:4" x14ac:dyDescent="0.25">
      <c r="A56" s="210"/>
      <c r="B56" s="207">
        <v>9.9</v>
      </c>
      <c r="C56" s="207">
        <v>31</v>
      </c>
      <c r="D56" s="211">
        <f>119/25.4</f>
        <v>4.6850393700787407</v>
      </c>
    </row>
    <row r="57" spans="1:4" x14ac:dyDescent="0.25">
      <c r="A57" s="208">
        <v>1500</v>
      </c>
      <c r="B57" s="206">
        <v>1.6</v>
      </c>
      <c r="C57" s="206">
        <v>10</v>
      </c>
      <c r="D57" s="209">
        <f>17/25.4</f>
        <v>0.6692913385826772</v>
      </c>
    </row>
    <row r="58" spans="1:4" x14ac:dyDescent="0.25">
      <c r="A58" s="208"/>
      <c r="B58" s="206">
        <v>1.9</v>
      </c>
      <c r="C58" s="206">
        <v>12</v>
      </c>
      <c r="D58" s="209">
        <f>21/25.4</f>
        <v>0.82677165354330717</v>
      </c>
    </row>
    <row r="59" spans="1:4" x14ac:dyDescent="0.25">
      <c r="A59" s="208"/>
      <c r="B59" s="206">
        <v>2.2999999999999998</v>
      </c>
      <c r="C59" s="206">
        <v>14</v>
      </c>
      <c r="D59" s="209">
        <f>25/25.4</f>
        <v>0.98425196850393704</v>
      </c>
    </row>
    <row r="60" spans="1:4" x14ac:dyDescent="0.25">
      <c r="A60" s="208"/>
      <c r="B60" s="206">
        <v>2.7</v>
      </c>
      <c r="C60" s="206">
        <v>17</v>
      </c>
      <c r="D60" s="209">
        <f>31/25.4</f>
        <v>1.2204724409448819</v>
      </c>
    </row>
    <row r="61" spans="1:4" x14ac:dyDescent="0.25">
      <c r="A61" s="208"/>
      <c r="B61" s="206">
        <v>3.1</v>
      </c>
      <c r="C61" s="206">
        <v>19</v>
      </c>
      <c r="D61" s="209">
        <f>35/25.4</f>
        <v>1.3779527559055118</v>
      </c>
    </row>
    <row r="62" spans="1:4" x14ac:dyDescent="0.25">
      <c r="A62" s="208"/>
      <c r="B62" s="206">
        <v>3.8</v>
      </c>
      <c r="C62" s="206">
        <v>24</v>
      </c>
      <c r="D62" s="209">
        <f>45/25.4</f>
        <v>1.7716535433070868</v>
      </c>
    </row>
    <row r="63" spans="1:4" x14ac:dyDescent="0.25">
      <c r="A63" s="208"/>
      <c r="B63" s="206">
        <v>5.7</v>
      </c>
      <c r="C63" s="206">
        <v>36</v>
      </c>
      <c r="D63" s="209">
        <f>70/25.4</f>
        <v>2.7559055118110236</v>
      </c>
    </row>
    <row r="64" spans="1:4" x14ac:dyDescent="0.25">
      <c r="A64" s="210">
        <v>1600</v>
      </c>
      <c r="B64" s="207">
        <v>2</v>
      </c>
      <c r="C64" s="207">
        <v>6</v>
      </c>
      <c r="D64" s="211">
        <f>20/25.4</f>
        <v>0.78740157480314965</v>
      </c>
    </row>
    <row r="65" spans="1:4" x14ac:dyDescent="0.25">
      <c r="A65" s="210"/>
      <c r="B65" s="207">
        <v>3.2</v>
      </c>
      <c r="C65" s="207">
        <v>10</v>
      </c>
      <c r="D65" s="211">
        <f>36/25.4</f>
        <v>1.4173228346456694</v>
      </c>
    </row>
    <row r="66" spans="1:4" x14ac:dyDescent="0.25">
      <c r="A66" s="210"/>
      <c r="B66" s="207">
        <v>3.9</v>
      </c>
      <c r="C66" s="207">
        <v>12</v>
      </c>
      <c r="D66" s="211">
        <f>44/25.4</f>
        <v>1.7322834645669292</v>
      </c>
    </row>
    <row r="67" spans="1:4" x14ac:dyDescent="0.25">
      <c r="A67" s="210"/>
      <c r="B67" s="207">
        <v>5.2</v>
      </c>
      <c r="C67" s="207">
        <v>16</v>
      </c>
      <c r="D67" s="211">
        <f>60/25.4</f>
        <v>2.3622047244094491</v>
      </c>
    </row>
    <row r="68" spans="1:4" x14ac:dyDescent="0.25">
      <c r="A68" s="210"/>
      <c r="B68" s="207">
        <v>6.4</v>
      </c>
      <c r="C68" s="207">
        <v>20</v>
      </c>
      <c r="D68" s="211">
        <f>76/25.4</f>
        <v>2.9921259842519685</v>
      </c>
    </row>
    <row r="69" spans="1:4" x14ac:dyDescent="0.25">
      <c r="A69" s="208">
        <v>1650</v>
      </c>
      <c r="B69" s="206">
        <v>2</v>
      </c>
      <c r="C69" s="206">
        <v>6</v>
      </c>
      <c r="D69" s="209">
        <f>20/25.4</f>
        <v>0.78740157480314965</v>
      </c>
    </row>
    <row r="70" spans="1:4" x14ac:dyDescent="0.25">
      <c r="A70" s="208"/>
      <c r="B70" s="206">
        <v>3.2</v>
      </c>
      <c r="C70" s="206">
        <v>10</v>
      </c>
      <c r="D70" s="209">
        <f>36/25.4</f>
        <v>1.4173228346456694</v>
      </c>
    </row>
    <row r="71" spans="1:4" x14ac:dyDescent="0.25">
      <c r="A71" s="208"/>
      <c r="B71" s="206">
        <v>3.9</v>
      </c>
      <c r="C71" s="206">
        <v>12</v>
      </c>
      <c r="D71" s="209">
        <f>44/25.4</f>
        <v>1.7322834645669292</v>
      </c>
    </row>
    <row r="72" spans="1:4" x14ac:dyDescent="0.25">
      <c r="A72" s="208"/>
      <c r="B72" s="206">
        <v>5.2</v>
      </c>
      <c r="C72" s="206">
        <v>16</v>
      </c>
      <c r="D72" s="209">
        <f>60/25.4</f>
        <v>2.3622047244094491</v>
      </c>
    </row>
    <row r="73" spans="1:4" x14ac:dyDescent="0.25">
      <c r="A73" s="208"/>
      <c r="B73" s="206">
        <v>6.4</v>
      </c>
      <c r="C73" s="206">
        <v>20</v>
      </c>
      <c r="D73" s="209">
        <f>76/25.4</f>
        <v>2.9921259842519685</v>
      </c>
    </row>
    <row r="74" spans="1:4" x14ac:dyDescent="0.25">
      <c r="A74" s="210">
        <v>1700</v>
      </c>
      <c r="B74" s="207">
        <v>5.8</v>
      </c>
      <c r="C74" s="207">
        <v>12</v>
      </c>
      <c r="D74" s="211">
        <f>62/25.4</f>
        <v>2.4409448818897639</v>
      </c>
    </row>
    <row r="75" spans="1:4" x14ac:dyDescent="0.25">
      <c r="A75" s="210"/>
      <c r="B75" s="207">
        <v>6.7</v>
      </c>
      <c r="C75" s="207">
        <v>14</v>
      </c>
      <c r="D75" s="211">
        <f>74/25.4</f>
        <v>2.9133858267716537</v>
      </c>
    </row>
    <row r="76" spans="1:4" x14ac:dyDescent="0.25">
      <c r="A76" s="210"/>
      <c r="B76" s="207">
        <v>7.7</v>
      </c>
      <c r="C76" s="207">
        <v>16</v>
      </c>
      <c r="D76" s="211">
        <f>86/25.4</f>
        <v>3.3858267716535435</v>
      </c>
    </row>
    <row r="77" spans="1:4" x14ac:dyDescent="0.25">
      <c r="A77" s="210"/>
      <c r="B77" s="207">
        <v>10.5</v>
      </c>
      <c r="C77" s="207">
        <v>22</v>
      </c>
      <c r="D77" s="211">
        <f>123/25.4</f>
        <v>4.8425196850393704</v>
      </c>
    </row>
    <row r="78" spans="1:4" x14ac:dyDescent="0.25">
      <c r="A78" s="208">
        <v>1750</v>
      </c>
      <c r="B78" s="206">
        <v>6.8</v>
      </c>
      <c r="C78" s="206">
        <v>14</v>
      </c>
      <c r="D78" s="209">
        <f>74/25.4</f>
        <v>2.9133858267716537</v>
      </c>
    </row>
    <row r="79" spans="1:4" x14ac:dyDescent="0.25">
      <c r="A79" s="208"/>
      <c r="B79" s="206">
        <v>7.8</v>
      </c>
      <c r="C79" s="206">
        <v>16</v>
      </c>
      <c r="D79" s="209">
        <f>84/25.4</f>
        <v>3.3070866141732287</v>
      </c>
    </row>
    <row r="80" spans="1:4" x14ac:dyDescent="0.25">
      <c r="A80" s="208"/>
      <c r="B80" s="206">
        <v>10.6</v>
      </c>
      <c r="C80" s="206">
        <v>22</v>
      </c>
      <c r="D80" s="209">
        <f>120/25.4</f>
        <v>4.7244094488188981</v>
      </c>
    </row>
    <row r="81" spans="1:4" x14ac:dyDescent="0.25">
      <c r="A81" s="210">
        <v>1800</v>
      </c>
      <c r="B81" s="207">
        <v>5</v>
      </c>
      <c r="C81" s="207">
        <v>6</v>
      </c>
      <c r="D81" s="211">
        <f>53/25.4</f>
        <v>2.0866141732283467</v>
      </c>
    </row>
    <row r="82" spans="1:4" x14ac:dyDescent="0.25">
      <c r="A82" s="210"/>
      <c r="B82" s="207">
        <v>6.5</v>
      </c>
      <c r="C82" s="207">
        <v>8</v>
      </c>
      <c r="D82" s="211">
        <f>73/25.4</f>
        <v>2.8740157480314963</v>
      </c>
    </row>
    <row r="83" spans="1:4" x14ac:dyDescent="0.25">
      <c r="A83" s="210"/>
      <c r="B83" s="207">
        <v>8.1</v>
      </c>
      <c r="C83" s="207">
        <v>10</v>
      </c>
      <c r="D83" s="211">
        <f>93/25.4</f>
        <v>3.6614173228346458</v>
      </c>
    </row>
    <row r="84" spans="1:4" x14ac:dyDescent="0.25">
      <c r="A84" s="210"/>
      <c r="B84" s="207">
        <v>10.5</v>
      </c>
      <c r="C84" s="207">
        <v>13</v>
      </c>
      <c r="D84" s="211">
        <f>123/25.4</f>
        <v>4.8425196850393704</v>
      </c>
    </row>
    <row r="85" spans="1:4" x14ac:dyDescent="0.25">
      <c r="A85" s="208">
        <v>1900</v>
      </c>
      <c r="B85" s="206">
        <v>6.7</v>
      </c>
      <c r="C85" s="206">
        <v>10</v>
      </c>
      <c r="D85" s="209">
        <f>72/25.4</f>
        <v>2.8346456692913389</v>
      </c>
    </row>
    <row r="86" spans="1:4" x14ac:dyDescent="0.25">
      <c r="A86" s="208"/>
      <c r="B86" s="206">
        <v>10</v>
      </c>
      <c r="C86" s="206">
        <v>15</v>
      </c>
      <c r="D86" s="209">
        <f>114/25.4</f>
        <v>4.4881889763779528</v>
      </c>
    </row>
    <row r="87" spans="1:4" x14ac:dyDescent="0.25">
      <c r="A87" s="208"/>
      <c r="B87" s="206">
        <v>10.6</v>
      </c>
      <c r="C87" s="206">
        <v>16</v>
      </c>
      <c r="D87" s="209">
        <f>122/25.4</f>
        <v>4.8031496062992129</v>
      </c>
    </row>
    <row r="88" spans="1:4" x14ac:dyDescent="0.25">
      <c r="A88" s="210">
        <v>4400</v>
      </c>
      <c r="B88" s="207">
        <v>4</v>
      </c>
      <c r="C88" s="207">
        <v>6</v>
      </c>
      <c r="D88" s="211">
        <f>43/25.4</f>
        <v>1.6929133858267718</v>
      </c>
    </row>
    <row r="89" spans="1:4" x14ac:dyDescent="0.25">
      <c r="A89" s="210"/>
      <c r="B89" s="207">
        <v>5.3</v>
      </c>
      <c r="C89" s="207">
        <v>8</v>
      </c>
      <c r="D89" s="211">
        <f>59/25.4</f>
        <v>2.3228346456692917</v>
      </c>
    </row>
    <row r="90" spans="1:4" x14ac:dyDescent="0.25">
      <c r="A90" s="210"/>
      <c r="B90" s="207">
        <v>6.5</v>
      </c>
      <c r="C90" s="207">
        <v>10</v>
      </c>
      <c r="D90" s="211">
        <f>75/25.4</f>
        <v>2.9527559055118111</v>
      </c>
    </row>
    <row r="91" spans="1:4" x14ac:dyDescent="0.25">
      <c r="A91" s="210"/>
      <c r="B91" s="207">
        <v>7.8</v>
      </c>
      <c r="C91" s="207">
        <v>12</v>
      </c>
      <c r="D91" s="211">
        <f>91/25.4</f>
        <v>3.582677165354331</v>
      </c>
    </row>
    <row r="92" spans="1:4" x14ac:dyDescent="0.25">
      <c r="A92" s="210"/>
      <c r="B92" s="207">
        <v>10.3</v>
      </c>
      <c r="C92" s="207">
        <v>16</v>
      </c>
      <c r="D92" s="211">
        <f>123/25.4</f>
        <v>4.8425196850393704</v>
      </c>
    </row>
    <row r="93" spans="1:4" x14ac:dyDescent="0.25">
      <c r="A93" s="208">
        <v>4500</v>
      </c>
      <c r="B93" s="206">
        <v>6.5</v>
      </c>
      <c r="C93" s="206">
        <v>10</v>
      </c>
      <c r="D93" s="209">
        <f>74/25.4</f>
        <v>2.9133858267716537</v>
      </c>
    </row>
    <row r="94" spans="1:4" x14ac:dyDescent="0.25">
      <c r="A94" s="208"/>
      <c r="B94" s="206">
        <v>7.8</v>
      </c>
      <c r="C94" s="206">
        <v>12</v>
      </c>
      <c r="D94" s="209">
        <f>91/25.4</f>
        <v>3.582677165354331</v>
      </c>
    </row>
    <row r="95" spans="1:4" x14ac:dyDescent="0.25">
      <c r="A95" s="208"/>
      <c r="B95" s="206">
        <v>10.3</v>
      </c>
      <c r="C95" s="206">
        <v>16</v>
      </c>
      <c r="D95" s="209">
        <f>122/25.4</f>
        <v>4.8031496062992129</v>
      </c>
    </row>
    <row r="96" spans="1:4" x14ac:dyDescent="0.25">
      <c r="A96" s="210">
        <v>9000</v>
      </c>
      <c r="B96" s="207">
        <v>3.3</v>
      </c>
      <c r="C96" s="207">
        <v>10</v>
      </c>
      <c r="D96" s="211">
        <f>35/25.4</f>
        <v>1.3779527559055118</v>
      </c>
    </row>
    <row r="97" spans="1:4" x14ac:dyDescent="0.25">
      <c r="A97" s="210"/>
      <c r="B97" s="207">
        <v>4.2</v>
      </c>
      <c r="C97" s="207">
        <v>13</v>
      </c>
      <c r="D97" s="211">
        <f>47/25.4</f>
        <v>1.8503937007874016</v>
      </c>
    </row>
    <row r="98" spans="1:4" x14ac:dyDescent="0.25">
      <c r="A98" s="210"/>
      <c r="B98" s="207">
        <v>6.1</v>
      </c>
      <c r="C98" s="207">
        <v>19</v>
      </c>
      <c r="D98" s="211">
        <f>72/25.4</f>
        <v>2.8346456692913389</v>
      </c>
    </row>
    <row r="99" spans="1:4" x14ac:dyDescent="0.25">
      <c r="A99" s="210"/>
      <c r="B99" s="207">
        <v>6.5</v>
      </c>
      <c r="C99" s="207">
        <v>20</v>
      </c>
      <c r="D99" s="211">
        <f>76/25.4</f>
        <v>2.9921259842519685</v>
      </c>
    </row>
    <row r="100" spans="1:4" x14ac:dyDescent="0.25">
      <c r="A100" s="210"/>
      <c r="B100" s="207">
        <v>8.1</v>
      </c>
      <c r="C100" s="207">
        <v>25</v>
      </c>
      <c r="D100" s="211">
        <f>96/25.4</f>
        <v>3.7795275590551185</v>
      </c>
    </row>
    <row r="101" spans="1:4" x14ac:dyDescent="0.25">
      <c r="A101" s="208">
        <v>10000</v>
      </c>
      <c r="B101" s="206">
        <v>9.9</v>
      </c>
      <c r="C101" s="206">
        <v>10</v>
      </c>
      <c r="D101" s="209">
        <f>108/25.4</f>
        <v>4.2519685039370083</v>
      </c>
    </row>
    <row r="102" spans="1:4" x14ac:dyDescent="0.25">
      <c r="A102" s="208"/>
      <c r="B102" s="206">
        <v>11.8</v>
      </c>
      <c r="C102" s="206">
        <v>12</v>
      </c>
      <c r="D102" s="209">
        <f>132/25.4</f>
        <v>5.1968503937007879</v>
      </c>
    </row>
    <row r="103" spans="1:4" x14ac:dyDescent="0.25">
      <c r="A103" s="208"/>
      <c r="B103" s="206">
        <v>13.7</v>
      </c>
      <c r="C103" s="206">
        <v>14</v>
      </c>
      <c r="D103" s="209">
        <f>156/25.4</f>
        <v>6.1417322834645676</v>
      </c>
    </row>
    <row r="104" spans="1:4" x14ac:dyDescent="0.25">
      <c r="A104" s="208"/>
      <c r="B104" s="206">
        <v>15.7</v>
      </c>
      <c r="C104" s="206">
        <v>16</v>
      </c>
      <c r="D104" s="209">
        <f>182/25.4</f>
        <v>7.165354330708662</v>
      </c>
    </row>
    <row r="105" spans="1:4" x14ac:dyDescent="0.25">
      <c r="A105" s="210">
        <v>2200</v>
      </c>
      <c r="B105" s="207">
        <v>3.9</v>
      </c>
      <c r="C105" s="207">
        <v>8</v>
      </c>
      <c r="D105" s="211">
        <f>40/25.4</f>
        <v>1.5748031496062993</v>
      </c>
    </row>
    <row r="106" spans="1:4" x14ac:dyDescent="0.25">
      <c r="A106" s="210"/>
      <c r="B106" s="207">
        <v>5.3</v>
      </c>
      <c r="C106" s="207">
        <v>11</v>
      </c>
      <c r="D106" s="211">
        <f>58/25.4</f>
        <v>2.2834645669291338</v>
      </c>
    </row>
    <row r="107" spans="1:4" x14ac:dyDescent="0.25">
      <c r="A107" s="210"/>
      <c r="B107" s="207">
        <v>6.3</v>
      </c>
      <c r="C107" s="207">
        <v>13</v>
      </c>
      <c r="D107" s="211">
        <f>70/25.4</f>
        <v>2.7559055118110236</v>
      </c>
    </row>
    <row r="108" spans="1:4" x14ac:dyDescent="0.25">
      <c r="A108" s="210"/>
      <c r="B108" s="207">
        <v>7.7</v>
      </c>
      <c r="C108" s="207">
        <v>16</v>
      </c>
      <c r="D108" s="211">
        <f>88/25.4</f>
        <v>3.4645669291338583</v>
      </c>
    </row>
    <row r="109" spans="1:4" x14ac:dyDescent="0.25">
      <c r="A109" s="208">
        <v>2300</v>
      </c>
      <c r="B109" s="206">
        <v>3.9</v>
      </c>
      <c r="C109" s="206">
        <v>12</v>
      </c>
      <c r="D109" s="209">
        <f>38/25.4</f>
        <v>1.4960629921259843</v>
      </c>
    </row>
    <row r="110" spans="1:4" x14ac:dyDescent="0.25">
      <c r="A110" s="208"/>
      <c r="B110" s="206">
        <v>5.0999999999999996</v>
      </c>
      <c r="C110" s="206">
        <v>16</v>
      </c>
      <c r="D110" s="209">
        <f>54/25.4</f>
        <v>2.1259842519685042</v>
      </c>
    </row>
    <row r="111" spans="1:4" x14ac:dyDescent="0.25">
      <c r="A111" s="208"/>
      <c r="B111" s="206">
        <v>5.8</v>
      </c>
      <c r="C111" s="206">
        <v>18</v>
      </c>
      <c r="D111" s="209">
        <f>62/25.4</f>
        <v>2.4409448818897639</v>
      </c>
    </row>
    <row r="112" spans="1:4" x14ac:dyDescent="0.25">
      <c r="A112" s="208"/>
      <c r="B112" s="206">
        <v>6.4</v>
      </c>
      <c r="C112" s="206">
        <v>20</v>
      </c>
      <c r="D112" s="209">
        <f>70/25.4</f>
        <v>2.7559055118110236</v>
      </c>
    </row>
    <row r="113" spans="1:4" x14ac:dyDescent="0.25">
      <c r="A113" s="210">
        <v>2400</v>
      </c>
      <c r="B113" s="207">
        <v>2</v>
      </c>
      <c r="C113" s="207">
        <v>6</v>
      </c>
      <c r="D113" s="211">
        <f>19/25.4</f>
        <v>0.74803149606299213</v>
      </c>
    </row>
    <row r="114" spans="1:4" x14ac:dyDescent="0.25">
      <c r="A114" s="210"/>
      <c r="B114" s="207">
        <v>2.9</v>
      </c>
      <c r="C114" s="207">
        <v>9</v>
      </c>
      <c r="D114" s="211">
        <f>31/25.4</f>
        <v>1.2204724409448819</v>
      </c>
    </row>
    <row r="115" spans="1:4" x14ac:dyDescent="0.25">
      <c r="A115" s="210"/>
      <c r="B115" s="207">
        <v>3.9</v>
      </c>
      <c r="C115" s="207">
        <v>12</v>
      </c>
      <c r="D115" s="211">
        <f>43/25.4</f>
        <v>1.6929133858267718</v>
      </c>
    </row>
    <row r="116" spans="1:4" x14ac:dyDescent="0.25">
      <c r="A116" s="210"/>
      <c r="B116" s="207">
        <v>5.0999999999999996</v>
      </c>
      <c r="C116" s="207">
        <v>16</v>
      </c>
      <c r="D116" s="211">
        <f>59/25.4</f>
        <v>2.3228346456692917</v>
      </c>
    </row>
    <row r="117" spans="1:4" ht="15.75" thickBot="1" x14ac:dyDescent="0.3">
      <c r="A117" s="212"/>
      <c r="B117" s="213">
        <v>6.4</v>
      </c>
      <c r="C117" s="213">
        <v>20</v>
      </c>
      <c r="D117" s="214">
        <f>75/25.4</f>
        <v>2.9527559055118111</v>
      </c>
    </row>
  </sheetData>
  <pageMargins left="0.7" right="0.7" top="0.75" bottom="0.75" header="0.3" footer="0.3"/>
  <pageSetup paperSize="12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23"/>
  <sheetViews>
    <sheetView topLeftCell="AW1" workbookViewId="0">
      <selection activeCell="BR33" sqref="BR33"/>
    </sheetView>
  </sheetViews>
  <sheetFormatPr defaultRowHeight="15" x14ac:dyDescent="0.25"/>
  <cols>
    <col min="41" max="41" width="12" bestFit="1" customWidth="1"/>
    <col min="42" max="44" width="12" customWidth="1"/>
    <col min="65" max="65" width="12.5703125" bestFit="1" customWidth="1"/>
    <col min="66" max="68" width="12.5703125" customWidth="1"/>
  </cols>
  <sheetData>
    <row r="1" spans="1:71" ht="15.75" thickBot="1" x14ac:dyDescent="0.3">
      <c r="A1" s="247" t="s">
        <v>241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248"/>
      <c r="AP1" s="248"/>
      <c r="AQ1" s="248"/>
      <c r="AR1" s="248"/>
      <c r="AS1" s="248"/>
      <c r="AT1" s="248"/>
      <c r="AU1" s="248"/>
      <c r="AV1" s="248"/>
      <c r="AW1" s="248"/>
      <c r="AX1" s="248"/>
      <c r="AY1" s="248"/>
      <c r="AZ1" s="248"/>
      <c r="BA1" s="248"/>
      <c r="BB1" s="248"/>
      <c r="BC1" s="248"/>
      <c r="BD1" s="248"/>
      <c r="BE1" s="248"/>
      <c r="BF1" s="248"/>
      <c r="BG1" s="248"/>
      <c r="BH1" s="248"/>
      <c r="BI1" s="248"/>
      <c r="BJ1" s="248"/>
      <c r="BK1" s="248"/>
      <c r="BL1" s="248"/>
      <c r="BM1" s="248"/>
      <c r="BN1" s="248"/>
      <c r="BO1" s="248"/>
      <c r="BP1" s="248"/>
      <c r="BQ1" s="248"/>
      <c r="BR1" s="248"/>
      <c r="BS1" s="249"/>
    </row>
    <row r="2" spans="1:71" ht="15.75" thickBot="1" x14ac:dyDescent="0.3">
      <c r="A2" s="250" t="s">
        <v>242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2"/>
      <c r="X2" s="96"/>
      <c r="Y2" s="250" t="s">
        <v>243</v>
      </c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2"/>
      <c r="AV2" s="96"/>
      <c r="AW2" s="253" t="s">
        <v>244</v>
      </c>
      <c r="AX2" s="254"/>
      <c r="AY2" s="254"/>
      <c r="AZ2" s="254"/>
      <c r="BA2" s="254"/>
      <c r="BB2" s="254"/>
      <c r="BC2" s="254"/>
      <c r="BD2" s="254"/>
      <c r="BE2" s="254"/>
      <c r="BF2" s="254"/>
      <c r="BG2" s="254"/>
      <c r="BH2" s="254"/>
      <c r="BI2" s="254"/>
      <c r="BJ2" s="254"/>
      <c r="BK2" s="254"/>
      <c r="BL2" s="254"/>
      <c r="BM2" s="254"/>
      <c r="BN2" s="254"/>
      <c r="BO2" s="254"/>
      <c r="BP2" s="254"/>
      <c r="BQ2" s="254"/>
      <c r="BR2" s="254"/>
      <c r="BS2" s="255"/>
    </row>
    <row r="3" spans="1:71" x14ac:dyDescent="0.25">
      <c r="A3" s="97" t="s">
        <v>245</v>
      </c>
      <c r="B3" s="127">
        <v>100</v>
      </c>
      <c r="C3" s="127">
        <v>200</v>
      </c>
      <c r="D3" s="127">
        <v>400</v>
      </c>
      <c r="E3" s="98">
        <v>550</v>
      </c>
      <c r="F3" s="98">
        <v>800</v>
      </c>
      <c r="G3" s="98">
        <v>850</v>
      </c>
      <c r="H3" s="98">
        <v>888</v>
      </c>
      <c r="I3" s="98">
        <v>900</v>
      </c>
      <c r="J3" s="98">
        <v>1000</v>
      </c>
      <c r="K3" s="98">
        <v>1100</v>
      </c>
      <c r="L3" s="98">
        <v>1200</v>
      </c>
      <c r="M3" s="98">
        <v>1400</v>
      </c>
      <c r="N3" s="98">
        <v>1500</v>
      </c>
      <c r="O3" s="98">
        <v>1600</v>
      </c>
      <c r="P3" s="98">
        <v>1650</v>
      </c>
      <c r="Q3" s="98">
        <v>1700</v>
      </c>
      <c r="R3" s="98">
        <v>1750</v>
      </c>
      <c r="S3" s="98">
        <v>1800</v>
      </c>
      <c r="T3" s="98">
        <v>1900</v>
      </c>
      <c r="U3" s="98">
        <v>2200</v>
      </c>
      <c r="V3" s="136">
        <v>2300</v>
      </c>
      <c r="W3" s="99">
        <v>2400</v>
      </c>
      <c r="X3" s="100"/>
      <c r="Y3" s="101" t="s">
        <v>245</v>
      </c>
      <c r="Z3" s="129">
        <v>100</v>
      </c>
      <c r="AA3" s="129">
        <v>200</v>
      </c>
      <c r="AB3" s="129">
        <v>400</v>
      </c>
      <c r="AC3" s="102">
        <v>550</v>
      </c>
      <c r="AD3" s="102">
        <v>800</v>
      </c>
      <c r="AE3" s="102">
        <v>850</v>
      </c>
      <c r="AF3" s="102">
        <v>888</v>
      </c>
      <c r="AG3" s="102">
        <v>900</v>
      </c>
      <c r="AH3" s="102">
        <v>1000</v>
      </c>
      <c r="AI3" s="102">
        <v>1100</v>
      </c>
      <c r="AJ3" s="102">
        <v>1200</v>
      </c>
      <c r="AK3" s="102">
        <v>1400</v>
      </c>
      <c r="AL3" s="102">
        <v>1500</v>
      </c>
      <c r="AM3" s="102">
        <v>1600</v>
      </c>
      <c r="AN3" s="102">
        <v>1650</v>
      </c>
      <c r="AO3" s="102">
        <v>1700</v>
      </c>
      <c r="AP3" s="102">
        <v>1750</v>
      </c>
      <c r="AQ3" s="102">
        <v>1800</v>
      </c>
      <c r="AR3" s="102">
        <v>1900</v>
      </c>
      <c r="AS3" s="102">
        <v>2200</v>
      </c>
      <c r="AT3" s="140">
        <v>2300</v>
      </c>
      <c r="AU3" s="103">
        <v>2400</v>
      </c>
      <c r="AV3" s="100"/>
      <c r="AW3" s="104" t="s">
        <v>245</v>
      </c>
      <c r="AX3" s="128">
        <v>100</v>
      </c>
      <c r="AY3" s="128">
        <v>200</v>
      </c>
      <c r="AZ3" s="128">
        <v>400</v>
      </c>
      <c r="BA3" s="105">
        <v>550</v>
      </c>
      <c r="BB3" s="105">
        <v>800</v>
      </c>
      <c r="BC3" s="105">
        <v>850</v>
      </c>
      <c r="BD3" s="105">
        <v>888</v>
      </c>
      <c r="BE3" s="105">
        <v>900</v>
      </c>
      <c r="BF3" s="105">
        <v>1000</v>
      </c>
      <c r="BG3" s="105">
        <v>1100</v>
      </c>
      <c r="BH3" s="105">
        <v>1200</v>
      </c>
      <c r="BI3" s="105">
        <v>1400</v>
      </c>
      <c r="BJ3" s="105">
        <v>1500</v>
      </c>
      <c r="BK3" s="105">
        <v>1600</v>
      </c>
      <c r="BL3" s="105">
        <v>1650</v>
      </c>
      <c r="BM3" s="105">
        <v>1700</v>
      </c>
      <c r="BN3" s="105">
        <v>1750</v>
      </c>
      <c r="BO3" s="105">
        <v>1800</v>
      </c>
      <c r="BP3" s="105">
        <v>1900</v>
      </c>
      <c r="BQ3" s="105">
        <v>2200</v>
      </c>
      <c r="BR3" s="144">
        <v>2300</v>
      </c>
      <c r="BS3" s="106">
        <v>2400</v>
      </c>
    </row>
    <row r="4" spans="1:71" x14ac:dyDescent="0.25">
      <c r="A4" s="104">
        <v>2</v>
      </c>
      <c r="B4" s="130">
        <v>1</v>
      </c>
      <c r="C4" s="130">
        <v>1</v>
      </c>
      <c r="D4" s="130">
        <v>1</v>
      </c>
      <c r="E4" s="107"/>
      <c r="F4" s="108">
        <v>1</v>
      </c>
      <c r="G4" s="108">
        <v>1</v>
      </c>
      <c r="H4" s="108"/>
      <c r="I4" s="107">
        <v>1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37"/>
      <c r="W4" s="109"/>
      <c r="X4" s="100"/>
      <c r="Y4" s="104">
        <v>2</v>
      </c>
      <c r="Z4" s="130">
        <v>2</v>
      </c>
      <c r="AA4" s="130">
        <v>2</v>
      </c>
      <c r="AB4" s="130">
        <v>2</v>
      </c>
      <c r="AC4" s="108"/>
      <c r="AD4" s="108">
        <v>2</v>
      </c>
      <c r="AE4" s="108">
        <v>2</v>
      </c>
      <c r="AF4" s="108"/>
      <c r="AG4" s="108">
        <v>2</v>
      </c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7"/>
      <c r="AT4" s="137"/>
      <c r="AU4" s="110"/>
      <c r="AV4" s="100"/>
      <c r="AW4" s="104">
        <v>2</v>
      </c>
      <c r="AX4" s="132">
        <v>2</v>
      </c>
      <c r="AY4" s="132">
        <v>2</v>
      </c>
      <c r="AZ4" s="132">
        <v>2</v>
      </c>
      <c r="BA4" s="108"/>
      <c r="BB4" s="108">
        <v>2</v>
      </c>
      <c r="BC4" s="108">
        <v>2</v>
      </c>
      <c r="BD4" s="108"/>
      <c r="BE4" s="108">
        <v>2</v>
      </c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38"/>
      <c r="BS4" s="111"/>
    </row>
    <row r="5" spans="1:71" x14ac:dyDescent="0.25">
      <c r="A5" s="104">
        <v>3</v>
      </c>
      <c r="B5" s="130">
        <v>1</v>
      </c>
      <c r="C5" s="130">
        <v>1</v>
      </c>
      <c r="D5" s="130">
        <v>1</v>
      </c>
      <c r="E5" s="107"/>
      <c r="F5" s="108">
        <v>1</v>
      </c>
      <c r="G5" s="108">
        <v>1</v>
      </c>
      <c r="H5" s="108"/>
      <c r="I5" s="108">
        <v>1</v>
      </c>
      <c r="J5" s="107">
        <v>2</v>
      </c>
      <c r="K5" s="108">
        <v>1</v>
      </c>
      <c r="L5" s="108"/>
      <c r="M5" s="108"/>
      <c r="N5" s="108"/>
      <c r="O5" s="107"/>
      <c r="P5" s="107"/>
      <c r="Q5" s="107"/>
      <c r="R5" s="107"/>
      <c r="S5" s="107"/>
      <c r="T5" s="107"/>
      <c r="U5" s="108"/>
      <c r="V5" s="138"/>
      <c r="W5" s="109"/>
      <c r="X5" s="100"/>
      <c r="Y5" s="104">
        <v>3</v>
      </c>
      <c r="Z5" s="130">
        <v>2</v>
      </c>
      <c r="AA5" s="130">
        <v>2</v>
      </c>
      <c r="AB5" s="130">
        <v>2</v>
      </c>
      <c r="AC5" s="108"/>
      <c r="AD5" s="108">
        <v>2</v>
      </c>
      <c r="AE5" s="108">
        <v>2</v>
      </c>
      <c r="AF5" s="108"/>
      <c r="AG5" s="108">
        <v>2</v>
      </c>
      <c r="AH5" s="108">
        <v>2</v>
      </c>
      <c r="AI5" s="108">
        <v>2</v>
      </c>
      <c r="AJ5" s="108"/>
      <c r="AK5" s="108"/>
      <c r="AL5" s="108"/>
      <c r="AM5" s="108"/>
      <c r="AN5" s="108"/>
      <c r="AO5" s="108"/>
      <c r="AP5" s="108"/>
      <c r="AQ5" s="108"/>
      <c r="AR5" s="108"/>
      <c r="AS5" s="107"/>
      <c r="AT5" s="137"/>
      <c r="AU5" s="110"/>
      <c r="AV5" s="100"/>
      <c r="AW5" s="104">
        <v>3</v>
      </c>
      <c r="AX5" s="132">
        <v>2</v>
      </c>
      <c r="AY5" s="132">
        <v>2</v>
      </c>
      <c r="AZ5" s="132">
        <v>2</v>
      </c>
      <c r="BA5" s="108"/>
      <c r="BB5" s="108">
        <v>2</v>
      </c>
      <c r="BC5" s="108">
        <v>2</v>
      </c>
      <c r="BD5" s="108"/>
      <c r="BE5" s="108">
        <v>2</v>
      </c>
      <c r="BF5" s="108">
        <v>2</v>
      </c>
      <c r="BG5" s="108">
        <v>2</v>
      </c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38"/>
      <c r="BS5" s="111"/>
    </row>
    <row r="6" spans="1:71" x14ac:dyDescent="0.25">
      <c r="A6" s="104">
        <v>4</v>
      </c>
      <c r="B6" s="130">
        <v>1</v>
      </c>
      <c r="C6" s="130">
        <v>1</v>
      </c>
      <c r="D6" s="130">
        <v>1</v>
      </c>
      <c r="E6" s="107"/>
      <c r="F6" s="108">
        <v>1</v>
      </c>
      <c r="G6" s="108">
        <v>1</v>
      </c>
      <c r="H6" s="108"/>
      <c r="I6" s="108">
        <v>1</v>
      </c>
      <c r="J6" s="107">
        <v>2</v>
      </c>
      <c r="K6" s="108">
        <v>1</v>
      </c>
      <c r="L6" s="108"/>
      <c r="M6" s="108"/>
      <c r="N6" s="108"/>
      <c r="O6" s="107"/>
      <c r="P6" s="107">
        <v>2</v>
      </c>
      <c r="Q6" s="107"/>
      <c r="R6" s="107"/>
      <c r="S6" s="107"/>
      <c r="T6" s="107"/>
      <c r="U6" s="108"/>
      <c r="V6" s="138"/>
      <c r="W6" s="111">
        <v>1</v>
      </c>
      <c r="X6" s="100"/>
      <c r="Y6" s="104">
        <v>4</v>
      </c>
      <c r="Z6" s="130">
        <v>2</v>
      </c>
      <c r="AA6" s="130">
        <v>2</v>
      </c>
      <c r="AB6" s="130">
        <v>2</v>
      </c>
      <c r="AC6" s="108"/>
      <c r="AD6" s="108">
        <v>2</v>
      </c>
      <c r="AE6" s="108">
        <v>2</v>
      </c>
      <c r="AF6" s="108"/>
      <c r="AG6" s="108">
        <v>2</v>
      </c>
      <c r="AH6" s="108">
        <v>2</v>
      </c>
      <c r="AI6" s="108">
        <v>2</v>
      </c>
      <c r="AJ6" s="108"/>
      <c r="AK6" s="108"/>
      <c r="AL6" s="108"/>
      <c r="AM6" s="108"/>
      <c r="AN6" s="108">
        <v>2</v>
      </c>
      <c r="AO6" s="108"/>
      <c r="AP6" s="108"/>
      <c r="AQ6" s="108"/>
      <c r="AR6" s="108"/>
      <c r="AS6" s="108"/>
      <c r="AT6" s="138"/>
      <c r="AU6" s="111">
        <v>2</v>
      </c>
      <c r="AV6" s="100"/>
      <c r="AW6" s="104">
        <v>4</v>
      </c>
      <c r="AX6" s="132">
        <v>2</v>
      </c>
      <c r="AY6" s="132">
        <v>2</v>
      </c>
      <c r="AZ6" s="132">
        <v>2</v>
      </c>
      <c r="BA6" s="108"/>
      <c r="BB6" s="108">
        <v>2</v>
      </c>
      <c r="BC6" s="108">
        <v>2</v>
      </c>
      <c r="BD6" s="108"/>
      <c r="BE6" s="108">
        <v>2</v>
      </c>
      <c r="BF6" s="108">
        <v>2</v>
      </c>
      <c r="BG6" s="108">
        <v>2</v>
      </c>
      <c r="BH6" s="108"/>
      <c r="BI6" s="108"/>
      <c r="BJ6" s="108"/>
      <c r="BK6" s="108"/>
      <c r="BL6" s="108">
        <v>2</v>
      </c>
      <c r="BM6" s="108"/>
      <c r="BN6" s="108"/>
      <c r="BO6" s="108"/>
      <c r="BP6" s="108"/>
      <c r="BQ6" s="108"/>
      <c r="BR6" s="138"/>
      <c r="BS6" s="111">
        <v>2</v>
      </c>
    </row>
    <row r="7" spans="1:71" x14ac:dyDescent="0.25">
      <c r="A7" s="104">
        <v>5</v>
      </c>
      <c r="B7" s="130">
        <v>1</v>
      </c>
      <c r="C7" s="130">
        <v>1</v>
      </c>
      <c r="D7" s="130">
        <v>1</v>
      </c>
      <c r="E7" s="107"/>
      <c r="F7" s="108">
        <v>1</v>
      </c>
      <c r="G7" s="108">
        <v>1</v>
      </c>
      <c r="H7" s="108"/>
      <c r="I7" s="108">
        <v>2</v>
      </c>
      <c r="J7" s="107">
        <v>2</v>
      </c>
      <c r="K7" s="108">
        <v>2</v>
      </c>
      <c r="L7" s="108"/>
      <c r="M7" s="108">
        <v>2</v>
      </c>
      <c r="N7" s="108"/>
      <c r="O7" s="108">
        <v>2</v>
      </c>
      <c r="P7" s="108">
        <v>2</v>
      </c>
      <c r="Q7" s="108">
        <v>2</v>
      </c>
      <c r="R7" s="108"/>
      <c r="S7" s="108">
        <v>1</v>
      </c>
      <c r="T7" s="108"/>
      <c r="U7" s="108">
        <v>2</v>
      </c>
      <c r="V7" s="138"/>
      <c r="W7" s="111">
        <v>2</v>
      </c>
      <c r="X7" s="100"/>
      <c r="Y7" s="104">
        <v>5</v>
      </c>
      <c r="Z7" s="130">
        <v>2</v>
      </c>
      <c r="AA7" s="130">
        <v>2</v>
      </c>
      <c r="AB7" s="130">
        <v>2</v>
      </c>
      <c r="AC7" s="108"/>
      <c r="AD7" s="108">
        <v>2</v>
      </c>
      <c r="AE7" s="108">
        <v>2</v>
      </c>
      <c r="AF7" s="108"/>
      <c r="AG7" s="108">
        <v>2</v>
      </c>
      <c r="AH7" s="108">
        <v>2</v>
      </c>
      <c r="AI7" s="108">
        <v>2</v>
      </c>
      <c r="AJ7" s="108"/>
      <c r="AK7" s="108">
        <v>2</v>
      </c>
      <c r="AL7" s="108"/>
      <c r="AM7" s="108">
        <v>2</v>
      </c>
      <c r="AN7" s="108">
        <v>2</v>
      </c>
      <c r="AO7" s="108" t="s">
        <v>246</v>
      </c>
      <c r="AP7" s="108"/>
      <c r="AQ7" s="108">
        <v>2</v>
      </c>
      <c r="AR7" s="108"/>
      <c r="AS7" s="108">
        <v>2</v>
      </c>
      <c r="AT7" s="138"/>
      <c r="AU7" s="111">
        <v>2</v>
      </c>
      <c r="AV7" s="100"/>
      <c r="AW7" s="104">
        <v>5</v>
      </c>
      <c r="AX7" s="132">
        <v>2</v>
      </c>
      <c r="AY7" s="132">
        <v>2</v>
      </c>
      <c r="AZ7" s="132">
        <v>2</v>
      </c>
      <c r="BA7" s="108"/>
      <c r="BB7" s="108">
        <v>2</v>
      </c>
      <c r="BC7" s="108">
        <v>2</v>
      </c>
      <c r="BD7" s="108"/>
      <c r="BE7" s="108">
        <v>2</v>
      </c>
      <c r="BF7" s="108">
        <v>2</v>
      </c>
      <c r="BG7" s="108">
        <v>2</v>
      </c>
      <c r="BH7" s="108"/>
      <c r="BI7" s="108">
        <v>2</v>
      </c>
      <c r="BJ7" s="108"/>
      <c r="BK7" s="108">
        <v>2</v>
      </c>
      <c r="BL7" s="108">
        <v>2</v>
      </c>
      <c r="BM7" s="108" t="s">
        <v>246</v>
      </c>
      <c r="BN7" s="108"/>
      <c r="BO7" s="108">
        <v>2</v>
      </c>
      <c r="BP7" s="108"/>
      <c r="BQ7" s="108">
        <v>2</v>
      </c>
      <c r="BR7" s="138"/>
      <c r="BS7" s="111">
        <v>2</v>
      </c>
    </row>
    <row r="8" spans="1:71" x14ac:dyDescent="0.25">
      <c r="A8" s="104">
        <v>6</v>
      </c>
      <c r="B8" s="130">
        <v>2</v>
      </c>
      <c r="C8" s="130">
        <v>2</v>
      </c>
      <c r="D8" s="130">
        <v>2</v>
      </c>
      <c r="E8" s="107"/>
      <c r="F8" s="108">
        <v>2</v>
      </c>
      <c r="G8" s="108">
        <v>2</v>
      </c>
      <c r="H8" s="108">
        <v>2</v>
      </c>
      <c r="I8" s="108">
        <v>2</v>
      </c>
      <c r="J8" s="107">
        <v>2</v>
      </c>
      <c r="K8" s="108">
        <v>2</v>
      </c>
      <c r="L8" s="108">
        <v>2</v>
      </c>
      <c r="M8" s="108">
        <v>2</v>
      </c>
      <c r="N8" s="108"/>
      <c r="O8" s="108">
        <v>2</v>
      </c>
      <c r="P8" s="108">
        <v>2</v>
      </c>
      <c r="Q8" s="108">
        <v>2</v>
      </c>
      <c r="R8" s="108"/>
      <c r="S8" s="108">
        <v>2</v>
      </c>
      <c r="T8" s="108"/>
      <c r="U8" s="108">
        <v>2</v>
      </c>
      <c r="V8" s="138"/>
      <c r="W8" s="111">
        <v>2</v>
      </c>
      <c r="X8" s="100"/>
      <c r="Y8" s="104">
        <v>6</v>
      </c>
      <c r="Z8" s="130">
        <v>2</v>
      </c>
      <c r="AA8" s="130">
        <v>2</v>
      </c>
      <c r="AB8" s="130">
        <v>2</v>
      </c>
      <c r="AC8" s="108"/>
      <c r="AD8" s="108">
        <v>2</v>
      </c>
      <c r="AE8" s="108">
        <v>2</v>
      </c>
      <c r="AF8" s="108">
        <v>22</v>
      </c>
      <c r="AG8" s="108">
        <v>2</v>
      </c>
      <c r="AH8" s="108">
        <v>2</v>
      </c>
      <c r="AI8" s="108">
        <v>2</v>
      </c>
      <c r="AJ8" s="108">
        <v>2</v>
      </c>
      <c r="AK8" s="108">
        <v>2</v>
      </c>
      <c r="AL8" s="108">
        <v>3</v>
      </c>
      <c r="AM8" s="108">
        <v>2</v>
      </c>
      <c r="AN8" s="108">
        <v>2</v>
      </c>
      <c r="AO8" s="108" t="s">
        <v>246</v>
      </c>
      <c r="AP8" s="108"/>
      <c r="AQ8" s="108">
        <v>2</v>
      </c>
      <c r="AR8" s="108"/>
      <c r="AS8" s="108">
        <v>2</v>
      </c>
      <c r="AT8" s="138"/>
      <c r="AU8" s="111">
        <v>2</v>
      </c>
      <c r="AV8" s="100"/>
      <c r="AW8" s="104">
        <v>6</v>
      </c>
      <c r="AX8" s="132">
        <v>2</v>
      </c>
      <c r="AY8" s="132">
        <v>2</v>
      </c>
      <c r="AZ8" s="132">
        <v>2</v>
      </c>
      <c r="BA8" s="108"/>
      <c r="BB8" s="108">
        <v>2</v>
      </c>
      <c r="BC8" s="108">
        <v>2</v>
      </c>
      <c r="BD8" s="108">
        <v>2</v>
      </c>
      <c r="BE8" s="108">
        <v>2</v>
      </c>
      <c r="BF8" s="108">
        <v>2</v>
      </c>
      <c r="BG8" s="108">
        <v>2</v>
      </c>
      <c r="BH8" s="108">
        <v>2</v>
      </c>
      <c r="BI8" s="108">
        <v>2</v>
      </c>
      <c r="BJ8" s="108"/>
      <c r="BK8" s="108">
        <v>2</v>
      </c>
      <c r="BL8" s="108">
        <v>2</v>
      </c>
      <c r="BM8" s="108" t="s">
        <v>246</v>
      </c>
      <c r="BN8" s="108"/>
      <c r="BO8" s="108">
        <v>2</v>
      </c>
      <c r="BP8" s="108"/>
      <c r="BQ8" s="108">
        <v>2</v>
      </c>
      <c r="BR8" s="138"/>
      <c r="BS8" s="111">
        <v>2</v>
      </c>
    </row>
    <row r="9" spans="1:71" x14ac:dyDescent="0.25">
      <c r="A9" s="104">
        <v>7</v>
      </c>
      <c r="B9" s="130">
        <v>2</v>
      </c>
      <c r="C9" s="130">
        <v>2</v>
      </c>
      <c r="D9" s="130">
        <v>2</v>
      </c>
      <c r="E9" s="107"/>
      <c r="F9" s="108">
        <v>2</v>
      </c>
      <c r="G9" s="108">
        <v>2</v>
      </c>
      <c r="H9" s="108">
        <v>2</v>
      </c>
      <c r="I9" s="108">
        <v>2</v>
      </c>
      <c r="J9" s="107">
        <v>2</v>
      </c>
      <c r="K9" s="108">
        <v>2</v>
      </c>
      <c r="L9" s="108">
        <v>2</v>
      </c>
      <c r="M9" s="108">
        <v>2</v>
      </c>
      <c r="N9" s="108"/>
      <c r="O9" s="108">
        <v>2</v>
      </c>
      <c r="P9" s="108">
        <v>2</v>
      </c>
      <c r="Q9" s="108">
        <v>3</v>
      </c>
      <c r="R9" s="108"/>
      <c r="S9" s="108">
        <v>2</v>
      </c>
      <c r="T9" s="108"/>
      <c r="U9" s="108">
        <v>2</v>
      </c>
      <c r="V9" s="138"/>
      <c r="W9" s="111">
        <v>2</v>
      </c>
      <c r="X9" s="100"/>
      <c r="Y9" s="104">
        <v>7</v>
      </c>
      <c r="Z9" s="130">
        <v>3</v>
      </c>
      <c r="AA9" s="130">
        <v>2</v>
      </c>
      <c r="AB9" s="130">
        <v>2</v>
      </c>
      <c r="AC9" s="108"/>
      <c r="AD9" s="108">
        <v>2</v>
      </c>
      <c r="AE9" s="108">
        <v>2</v>
      </c>
      <c r="AF9" s="108">
        <v>2</v>
      </c>
      <c r="AG9" s="108">
        <v>3</v>
      </c>
      <c r="AH9" s="108">
        <v>3</v>
      </c>
      <c r="AI9" s="108">
        <v>3</v>
      </c>
      <c r="AJ9" s="108">
        <v>2</v>
      </c>
      <c r="AK9" s="108">
        <v>3</v>
      </c>
      <c r="AL9" s="108">
        <v>3</v>
      </c>
      <c r="AM9" s="108">
        <v>3</v>
      </c>
      <c r="AN9" s="108">
        <v>3</v>
      </c>
      <c r="AO9" s="108" t="s">
        <v>246</v>
      </c>
      <c r="AP9" s="108"/>
      <c r="AQ9" s="108">
        <v>2</v>
      </c>
      <c r="AR9" s="108"/>
      <c r="AS9" s="108">
        <v>2</v>
      </c>
      <c r="AT9" s="138"/>
      <c r="AU9" s="111">
        <v>2</v>
      </c>
      <c r="AV9" s="100"/>
      <c r="AW9" s="104">
        <v>7</v>
      </c>
      <c r="AX9" s="132">
        <v>2</v>
      </c>
      <c r="AY9" s="132">
        <v>2</v>
      </c>
      <c r="AZ9" s="132">
        <v>2</v>
      </c>
      <c r="BA9" s="108"/>
      <c r="BB9" s="108">
        <v>2</v>
      </c>
      <c r="BC9" s="108">
        <v>2</v>
      </c>
      <c r="BD9" s="108">
        <v>2</v>
      </c>
      <c r="BE9" s="108">
        <v>2</v>
      </c>
      <c r="BF9" s="108">
        <v>2</v>
      </c>
      <c r="BG9" s="108">
        <v>2</v>
      </c>
      <c r="BH9" s="108">
        <v>2</v>
      </c>
      <c r="BI9" s="108">
        <v>2</v>
      </c>
      <c r="BJ9" s="108"/>
      <c r="BK9" s="108">
        <v>2</v>
      </c>
      <c r="BL9" s="108">
        <v>2</v>
      </c>
      <c r="BM9" s="108" t="s">
        <v>246</v>
      </c>
      <c r="BN9" s="108"/>
      <c r="BO9" s="108">
        <v>2</v>
      </c>
      <c r="BP9" s="108"/>
      <c r="BQ9" s="108">
        <v>2</v>
      </c>
      <c r="BR9" s="138"/>
      <c r="BS9" s="111">
        <v>2</v>
      </c>
    </row>
    <row r="10" spans="1:71" x14ac:dyDescent="0.25">
      <c r="A10" s="104">
        <v>8</v>
      </c>
      <c r="B10" s="130">
        <v>2</v>
      </c>
      <c r="C10" s="130">
        <v>2</v>
      </c>
      <c r="D10" s="130">
        <v>2</v>
      </c>
      <c r="E10" s="107">
        <v>3</v>
      </c>
      <c r="F10" s="108">
        <v>2</v>
      </c>
      <c r="G10" s="108">
        <v>2</v>
      </c>
      <c r="H10" s="108">
        <v>2</v>
      </c>
      <c r="I10" s="108">
        <v>2</v>
      </c>
      <c r="J10" s="107">
        <v>2</v>
      </c>
      <c r="K10" s="108">
        <v>2</v>
      </c>
      <c r="L10" s="108">
        <v>2</v>
      </c>
      <c r="M10" s="108">
        <v>2</v>
      </c>
      <c r="N10" s="108">
        <v>3</v>
      </c>
      <c r="O10" s="108">
        <v>3</v>
      </c>
      <c r="P10" s="108">
        <v>3</v>
      </c>
      <c r="Q10" s="108">
        <v>3</v>
      </c>
      <c r="R10" s="108"/>
      <c r="S10" s="108">
        <v>2</v>
      </c>
      <c r="T10" s="108"/>
      <c r="U10" s="108">
        <v>2</v>
      </c>
      <c r="V10" s="138"/>
      <c r="W10" s="111">
        <v>2</v>
      </c>
      <c r="X10" s="100"/>
      <c r="Y10" s="104">
        <v>8</v>
      </c>
      <c r="Z10" s="130">
        <v>3</v>
      </c>
      <c r="AA10" s="130">
        <v>2</v>
      </c>
      <c r="AB10" s="130">
        <v>2</v>
      </c>
      <c r="AC10" s="108">
        <v>3</v>
      </c>
      <c r="AD10" s="108">
        <v>2</v>
      </c>
      <c r="AE10" s="108">
        <v>2</v>
      </c>
      <c r="AF10" s="108">
        <v>2</v>
      </c>
      <c r="AG10" s="108">
        <v>3</v>
      </c>
      <c r="AH10" s="108">
        <v>3</v>
      </c>
      <c r="AI10" s="108">
        <v>3</v>
      </c>
      <c r="AJ10" s="108">
        <v>2</v>
      </c>
      <c r="AK10" s="108">
        <v>3</v>
      </c>
      <c r="AL10" s="108">
        <v>3</v>
      </c>
      <c r="AM10" s="108">
        <v>3</v>
      </c>
      <c r="AN10" s="108">
        <v>3</v>
      </c>
      <c r="AO10" s="108" t="s">
        <v>246</v>
      </c>
      <c r="AP10" s="108"/>
      <c r="AQ10" s="108">
        <v>2</v>
      </c>
      <c r="AR10" s="108"/>
      <c r="AS10" s="108">
        <v>2</v>
      </c>
      <c r="AT10" s="138"/>
      <c r="AU10" s="111">
        <v>2</v>
      </c>
      <c r="AV10" s="100"/>
      <c r="AW10" s="104">
        <v>8</v>
      </c>
      <c r="AX10" s="132">
        <v>2</v>
      </c>
      <c r="AY10" s="132">
        <v>2</v>
      </c>
      <c r="AZ10" s="132">
        <v>2</v>
      </c>
      <c r="BA10" s="108">
        <v>3</v>
      </c>
      <c r="BB10" s="108">
        <v>2</v>
      </c>
      <c r="BC10" s="108">
        <v>2</v>
      </c>
      <c r="BD10" s="108">
        <v>2</v>
      </c>
      <c r="BE10" s="108">
        <v>2</v>
      </c>
      <c r="BF10" s="108">
        <v>2</v>
      </c>
      <c r="BG10" s="108">
        <v>2</v>
      </c>
      <c r="BH10" s="108">
        <v>2</v>
      </c>
      <c r="BI10" s="108">
        <v>2</v>
      </c>
      <c r="BJ10" s="108">
        <v>2</v>
      </c>
      <c r="BK10" s="108">
        <v>2</v>
      </c>
      <c r="BL10" s="108">
        <v>2</v>
      </c>
      <c r="BM10" s="108" t="s">
        <v>246</v>
      </c>
      <c r="BN10" s="108"/>
      <c r="BO10" s="108">
        <v>2</v>
      </c>
      <c r="BP10" s="108"/>
      <c r="BQ10" s="108">
        <v>2</v>
      </c>
      <c r="BR10" s="138"/>
      <c r="BS10" s="111">
        <v>2</v>
      </c>
    </row>
    <row r="11" spans="1:71" x14ac:dyDescent="0.25">
      <c r="A11" s="104">
        <v>9</v>
      </c>
      <c r="B11" s="130">
        <v>2</v>
      </c>
      <c r="C11" s="130">
        <v>2</v>
      </c>
      <c r="D11" s="130">
        <v>2</v>
      </c>
      <c r="E11" s="107">
        <v>3</v>
      </c>
      <c r="F11" s="108">
        <v>2</v>
      </c>
      <c r="G11" s="108">
        <v>2</v>
      </c>
      <c r="H11" s="108">
        <v>2</v>
      </c>
      <c r="I11" s="108">
        <v>3</v>
      </c>
      <c r="J11" s="107">
        <v>2</v>
      </c>
      <c r="K11" s="108">
        <v>3</v>
      </c>
      <c r="L11" s="108">
        <v>2</v>
      </c>
      <c r="M11" s="108">
        <v>2</v>
      </c>
      <c r="N11" s="108">
        <v>3</v>
      </c>
      <c r="O11" s="108">
        <v>3</v>
      </c>
      <c r="P11" s="108">
        <v>3</v>
      </c>
      <c r="Q11" s="108">
        <v>3</v>
      </c>
      <c r="R11" s="108"/>
      <c r="S11" s="108">
        <v>2</v>
      </c>
      <c r="T11" s="108"/>
      <c r="U11" s="108">
        <v>3</v>
      </c>
      <c r="V11" s="138"/>
      <c r="W11" s="111">
        <v>3</v>
      </c>
      <c r="X11" s="100"/>
      <c r="Y11" s="104">
        <v>9</v>
      </c>
      <c r="Z11" s="130">
        <v>3</v>
      </c>
      <c r="AA11" s="130">
        <v>2</v>
      </c>
      <c r="AB11" s="130">
        <v>2</v>
      </c>
      <c r="AC11" s="108">
        <v>3</v>
      </c>
      <c r="AD11" s="108">
        <v>2</v>
      </c>
      <c r="AE11" s="108">
        <v>2</v>
      </c>
      <c r="AF11" s="108">
        <v>2</v>
      </c>
      <c r="AG11" s="108">
        <v>3</v>
      </c>
      <c r="AH11" s="108">
        <v>3</v>
      </c>
      <c r="AI11" s="108">
        <v>3</v>
      </c>
      <c r="AJ11" s="108">
        <v>2</v>
      </c>
      <c r="AK11" s="108">
        <v>3</v>
      </c>
      <c r="AL11" s="108">
        <v>3</v>
      </c>
      <c r="AM11" s="108">
        <v>3</v>
      </c>
      <c r="AN11" s="108">
        <v>3</v>
      </c>
      <c r="AO11" s="108" t="s">
        <v>246</v>
      </c>
      <c r="AP11" s="108"/>
      <c r="AQ11" s="108">
        <v>2</v>
      </c>
      <c r="AR11" s="108"/>
      <c r="AS11" s="108">
        <v>3</v>
      </c>
      <c r="AT11" s="138"/>
      <c r="AU11" s="111">
        <v>3</v>
      </c>
      <c r="AV11" s="100"/>
      <c r="AW11" s="104">
        <v>9</v>
      </c>
      <c r="AX11" s="132">
        <v>2</v>
      </c>
      <c r="AY11" s="132">
        <v>2</v>
      </c>
      <c r="AZ11" s="132">
        <v>2</v>
      </c>
      <c r="BA11" s="108">
        <v>3</v>
      </c>
      <c r="BB11" s="108">
        <v>2</v>
      </c>
      <c r="BC11" s="108">
        <v>2</v>
      </c>
      <c r="BD11" s="108">
        <v>2</v>
      </c>
      <c r="BE11" s="108">
        <v>2</v>
      </c>
      <c r="BF11" s="108">
        <v>2</v>
      </c>
      <c r="BG11" s="108">
        <v>2</v>
      </c>
      <c r="BH11" s="108">
        <v>2</v>
      </c>
      <c r="BI11" s="108">
        <v>2</v>
      </c>
      <c r="BJ11" s="108">
        <v>2</v>
      </c>
      <c r="BK11" s="108">
        <v>2</v>
      </c>
      <c r="BL11" s="108">
        <v>2</v>
      </c>
      <c r="BM11" s="108" t="s">
        <v>246</v>
      </c>
      <c r="BN11" s="108"/>
      <c r="BO11" s="108">
        <v>2</v>
      </c>
      <c r="BP11" s="108"/>
      <c r="BQ11" s="108">
        <v>2</v>
      </c>
      <c r="BR11" s="138"/>
      <c r="BS11" s="111">
        <v>2</v>
      </c>
    </row>
    <row r="12" spans="1:71" x14ac:dyDescent="0.25">
      <c r="A12" s="104">
        <v>10</v>
      </c>
      <c r="B12" s="130">
        <v>2</v>
      </c>
      <c r="C12" s="130">
        <v>2</v>
      </c>
      <c r="D12" s="130">
        <v>2</v>
      </c>
      <c r="E12" s="107">
        <v>4</v>
      </c>
      <c r="F12" s="108">
        <v>2</v>
      </c>
      <c r="G12" s="108">
        <v>2</v>
      </c>
      <c r="H12" s="108">
        <v>2</v>
      </c>
      <c r="I12" s="108">
        <v>3</v>
      </c>
      <c r="J12" s="107">
        <v>2</v>
      </c>
      <c r="K12" s="108">
        <v>3</v>
      </c>
      <c r="L12" s="108">
        <v>2</v>
      </c>
      <c r="M12" s="108">
        <v>2</v>
      </c>
      <c r="N12" s="108">
        <v>3</v>
      </c>
      <c r="O12" s="108">
        <v>3</v>
      </c>
      <c r="P12" s="108">
        <v>3</v>
      </c>
      <c r="Q12" s="108">
        <v>3</v>
      </c>
      <c r="R12" s="108"/>
      <c r="S12" s="108">
        <v>2</v>
      </c>
      <c r="T12" s="108"/>
      <c r="U12" s="108">
        <v>3</v>
      </c>
      <c r="V12" s="138"/>
      <c r="W12" s="111">
        <v>3</v>
      </c>
      <c r="X12" s="100"/>
      <c r="Y12" s="104">
        <v>10</v>
      </c>
      <c r="Z12" s="130">
        <v>3</v>
      </c>
      <c r="AA12" s="130">
        <v>3</v>
      </c>
      <c r="AB12" s="130">
        <v>3</v>
      </c>
      <c r="AC12" s="108">
        <v>3</v>
      </c>
      <c r="AD12" s="108">
        <v>3</v>
      </c>
      <c r="AE12" s="108">
        <v>3</v>
      </c>
      <c r="AF12" s="108">
        <v>3</v>
      </c>
      <c r="AG12" s="108">
        <v>3</v>
      </c>
      <c r="AH12" s="108">
        <v>3</v>
      </c>
      <c r="AI12" s="108">
        <v>3</v>
      </c>
      <c r="AJ12" s="108">
        <v>3</v>
      </c>
      <c r="AK12" s="108">
        <v>3</v>
      </c>
      <c r="AL12" s="108">
        <v>3</v>
      </c>
      <c r="AM12" s="108">
        <v>3</v>
      </c>
      <c r="AN12" s="108">
        <v>3</v>
      </c>
      <c r="AO12" s="108" t="s">
        <v>246</v>
      </c>
      <c r="AP12" s="108"/>
      <c r="AQ12" s="108">
        <v>3</v>
      </c>
      <c r="AR12" s="108"/>
      <c r="AS12" s="108">
        <v>3</v>
      </c>
      <c r="AT12" s="138"/>
      <c r="AU12" s="111">
        <v>3</v>
      </c>
      <c r="AV12" s="100"/>
      <c r="AW12" s="104">
        <v>10</v>
      </c>
      <c r="AX12" s="132">
        <v>2</v>
      </c>
      <c r="AY12" s="132">
        <v>2</v>
      </c>
      <c r="AZ12" s="132">
        <v>2</v>
      </c>
      <c r="BA12" s="108">
        <v>3</v>
      </c>
      <c r="BB12" s="108">
        <v>2</v>
      </c>
      <c r="BC12" s="108">
        <v>2</v>
      </c>
      <c r="BD12" s="108">
        <v>2</v>
      </c>
      <c r="BE12" s="108">
        <v>2</v>
      </c>
      <c r="BF12" s="108">
        <v>2</v>
      </c>
      <c r="BG12" s="108">
        <v>2</v>
      </c>
      <c r="BH12" s="108">
        <v>2</v>
      </c>
      <c r="BI12" s="108">
        <v>2</v>
      </c>
      <c r="BJ12" s="108">
        <v>2</v>
      </c>
      <c r="BK12" s="108">
        <v>2</v>
      </c>
      <c r="BL12" s="108">
        <v>2</v>
      </c>
      <c r="BM12" s="108" t="s">
        <v>246</v>
      </c>
      <c r="BN12" s="108"/>
      <c r="BO12" s="108">
        <v>2</v>
      </c>
      <c r="BP12" s="108"/>
      <c r="BQ12" s="108">
        <v>2</v>
      </c>
      <c r="BR12" s="138"/>
      <c r="BS12" s="111">
        <v>2</v>
      </c>
    </row>
    <row r="13" spans="1:71" x14ac:dyDescent="0.25">
      <c r="A13" s="104">
        <v>11</v>
      </c>
      <c r="B13" s="130">
        <v>2</v>
      </c>
      <c r="C13" s="130">
        <v>2</v>
      </c>
      <c r="D13" s="130">
        <v>2</v>
      </c>
      <c r="E13" s="107">
        <v>4</v>
      </c>
      <c r="F13" s="108">
        <v>2</v>
      </c>
      <c r="G13" s="108">
        <v>2</v>
      </c>
      <c r="H13" s="108">
        <v>2</v>
      </c>
      <c r="I13" s="108">
        <v>3</v>
      </c>
      <c r="J13" s="107">
        <v>3</v>
      </c>
      <c r="K13" s="108">
        <v>3</v>
      </c>
      <c r="L13" s="108">
        <v>2</v>
      </c>
      <c r="M13" s="108">
        <v>2</v>
      </c>
      <c r="N13" s="108">
        <v>3</v>
      </c>
      <c r="O13" s="108">
        <v>3</v>
      </c>
      <c r="P13" s="108">
        <v>3</v>
      </c>
      <c r="Q13" s="108">
        <v>3</v>
      </c>
      <c r="R13" s="108"/>
      <c r="S13" s="108">
        <v>2</v>
      </c>
      <c r="T13" s="108"/>
      <c r="U13" s="108">
        <v>3</v>
      </c>
      <c r="V13" s="138"/>
      <c r="W13" s="111">
        <v>3</v>
      </c>
      <c r="X13" s="100"/>
      <c r="Y13" s="104">
        <v>11</v>
      </c>
      <c r="Z13" s="130">
        <v>3</v>
      </c>
      <c r="AA13" s="130">
        <v>3</v>
      </c>
      <c r="AB13" s="130">
        <v>3</v>
      </c>
      <c r="AC13" s="108">
        <v>4</v>
      </c>
      <c r="AD13" s="108">
        <v>3</v>
      </c>
      <c r="AE13" s="108">
        <v>3</v>
      </c>
      <c r="AF13" s="108">
        <v>3</v>
      </c>
      <c r="AG13" s="108">
        <v>3</v>
      </c>
      <c r="AH13" s="108">
        <v>3</v>
      </c>
      <c r="AI13" s="108">
        <v>3</v>
      </c>
      <c r="AJ13" s="108">
        <v>3</v>
      </c>
      <c r="AK13" s="108">
        <v>3</v>
      </c>
      <c r="AL13" s="108">
        <v>3</v>
      </c>
      <c r="AM13" s="108">
        <v>3</v>
      </c>
      <c r="AN13" s="108">
        <v>3</v>
      </c>
      <c r="AO13" s="108" t="s">
        <v>246</v>
      </c>
      <c r="AP13" s="108"/>
      <c r="AQ13" s="108">
        <v>3</v>
      </c>
      <c r="AR13" s="108"/>
      <c r="AS13" s="108">
        <v>3</v>
      </c>
      <c r="AT13" s="138"/>
      <c r="AU13" s="111">
        <v>3</v>
      </c>
      <c r="AV13" s="100"/>
      <c r="AW13" s="104">
        <v>11</v>
      </c>
      <c r="AX13" s="132">
        <v>2</v>
      </c>
      <c r="AY13" s="132">
        <v>2</v>
      </c>
      <c r="AZ13" s="132">
        <v>2</v>
      </c>
      <c r="BA13" s="108">
        <v>3</v>
      </c>
      <c r="BB13" s="108">
        <v>2</v>
      </c>
      <c r="BC13" s="108">
        <v>2</v>
      </c>
      <c r="BD13" s="108">
        <v>2</v>
      </c>
      <c r="BE13" s="108">
        <v>2</v>
      </c>
      <c r="BF13" s="108">
        <v>2</v>
      </c>
      <c r="BG13" s="108">
        <v>2</v>
      </c>
      <c r="BH13" s="108">
        <v>2</v>
      </c>
      <c r="BI13" s="108">
        <v>2</v>
      </c>
      <c r="BJ13" s="108">
        <v>2</v>
      </c>
      <c r="BK13" s="108">
        <v>2</v>
      </c>
      <c r="BL13" s="108">
        <v>2</v>
      </c>
      <c r="BM13" s="108" t="s">
        <v>246</v>
      </c>
      <c r="BN13" s="108"/>
      <c r="BO13" s="108">
        <v>2</v>
      </c>
      <c r="BP13" s="108"/>
      <c r="BQ13" s="108">
        <v>2</v>
      </c>
      <c r="BR13" s="138"/>
      <c r="BS13" s="111">
        <v>2</v>
      </c>
    </row>
    <row r="14" spans="1:71" x14ac:dyDescent="0.25">
      <c r="A14" s="104">
        <v>12</v>
      </c>
      <c r="B14" s="130">
        <v>3</v>
      </c>
      <c r="C14" s="130">
        <v>3</v>
      </c>
      <c r="D14" s="130">
        <v>3</v>
      </c>
      <c r="E14" s="107">
        <v>4</v>
      </c>
      <c r="F14" s="108">
        <v>3</v>
      </c>
      <c r="G14" s="108">
        <v>3</v>
      </c>
      <c r="H14" s="108">
        <v>3</v>
      </c>
      <c r="I14" s="108">
        <v>3</v>
      </c>
      <c r="J14" s="107">
        <v>3</v>
      </c>
      <c r="K14" s="108">
        <v>3</v>
      </c>
      <c r="L14" s="108">
        <v>3</v>
      </c>
      <c r="M14" s="108">
        <v>3</v>
      </c>
      <c r="N14" s="108">
        <v>3</v>
      </c>
      <c r="O14" s="108">
        <v>3</v>
      </c>
      <c r="P14" s="108">
        <v>3</v>
      </c>
      <c r="Q14" s="108">
        <v>3</v>
      </c>
      <c r="R14" s="108">
        <v>5</v>
      </c>
      <c r="S14" s="108">
        <v>3</v>
      </c>
      <c r="T14" s="108"/>
      <c r="U14" s="108">
        <v>3</v>
      </c>
      <c r="V14" s="138">
        <v>2</v>
      </c>
      <c r="W14" s="111">
        <v>3</v>
      </c>
      <c r="X14" s="100"/>
      <c r="Y14" s="104">
        <v>12</v>
      </c>
      <c r="Z14" s="130">
        <v>3</v>
      </c>
      <c r="AA14" s="130">
        <v>3</v>
      </c>
      <c r="AB14" s="130">
        <v>3</v>
      </c>
      <c r="AC14" s="108">
        <v>4</v>
      </c>
      <c r="AD14" s="108">
        <v>3</v>
      </c>
      <c r="AE14" s="108">
        <v>3</v>
      </c>
      <c r="AF14" s="108">
        <v>3</v>
      </c>
      <c r="AG14" s="108">
        <v>3</v>
      </c>
      <c r="AH14" s="108">
        <v>3</v>
      </c>
      <c r="AI14" s="108">
        <v>3</v>
      </c>
      <c r="AJ14" s="108">
        <v>3</v>
      </c>
      <c r="AK14" s="108">
        <v>4</v>
      </c>
      <c r="AL14" s="108">
        <v>3</v>
      </c>
      <c r="AM14" s="108">
        <v>3</v>
      </c>
      <c r="AN14" s="108">
        <v>3</v>
      </c>
      <c r="AO14" s="108" t="s">
        <v>246</v>
      </c>
      <c r="AP14" s="108" t="s">
        <v>246</v>
      </c>
      <c r="AQ14" s="108">
        <v>3</v>
      </c>
      <c r="AR14" s="108"/>
      <c r="AS14" s="108">
        <v>3</v>
      </c>
      <c r="AT14" s="138">
        <v>3</v>
      </c>
      <c r="AU14" s="111">
        <v>3</v>
      </c>
      <c r="AV14" s="100"/>
      <c r="AW14" s="104">
        <v>12</v>
      </c>
      <c r="AX14" s="132">
        <v>2</v>
      </c>
      <c r="AY14" s="132">
        <v>2</v>
      </c>
      <c r="AZ14" s="132">
        <v>2</v>
      </c>
      <c r="BA14" s="108">
        <v>3</v>
      </c>
      <c r="BB14" s="108">
        <v>2</v>
      </c>
      <c r="BC14" s="108">
        <v>3</v>
      </c>
      <c r="BD14" s="108">
        <v>2</v>
      </c>
      <c r="BE14" s="108">
        <v>2</v>
      </c>
      <c r="BF14" s="108">
        <v>2</v>
      </c>
      <c r="BG14" s="108">
        <v>2</v>
      </c>
      <c r="BH14" s="108">
        <v>2</v>
      </c>
      <c r="BI14" s="108">
        <v>2</v>
      </c>
      <c r="BJ14" s="108">
        <v>2</v>
      </c>
      <c r="BK14" s="108">
        <v>2</v>
      </c>
      <c r="BL14" s="108">
        <v>2</v>
      </c>
      <c r="BM14" s="108" t="s">
        <v>246</v>
      </c>
      <c r="BN14" s="108"/>
      <c r="BO14" s="108">
        <v>2</v>
      </c>
      <c r="BP14" s="108"/>
      <c r="BQ14" s="108">
        <v>2</v>
      </c>
      <c r="BR14" s="138">
        <v>2</v>
      </c>
      <c r="BS14" s="111">
        <v>2</v>
      </c>
    </row>
    <row r="15" spans="1:71" x14ac:dyDescent="0.25">
      <c r="A15" s="104">
        <v>13</v>
      </c>
      <c r="B15" s="130">
        <v>3</v>
      </c>
      <c r="C15" s="130">
        <v>3</v>
      </c>
      <c r="D15" s="130">
        <v>3</v>
      </c>
      <c r="E15" s="107">
        <v>4</v>
      </c>
      <c r="F15" s="108">
        <v>3</v>
      </c>
      <c r="G15" s="108">
        <v>3</v>
      </c>
      <c r="H15" s="108">
        <v>3</v>
      </c>
      <c r="I15" s="108">
        <v>5</v>
      </c>
      <c r="J15" s="107">
        <v>3</v>
      </c>
      <c r="K15" s="108">
        <v>5</v>
      </c>
      <c r="L15" s="108">
        <v>3</v>
      </c>
      <c r="M15" s="108">
        <v>3</v>
      </c>
      <c r="N15" s="108">
        <v>3</v>
      </c>
      <c r="O15" s="108">
        <v>5</v>
      </c>
      <c r="P15" s="108">
        <v>3</v>
      </c>
      <c r="Q15" s="108">
        <v>3</v>
      </c>
      <c r="R15" s="108">
        <v>5</v>
      </c>
      <c r="S15" s="108">
        <v>3</v>
      </c>
      <c r="T15" s="108"/>
      <c r="U15" s="108">
        <v>5</v>
      </c>
      <c r="V15" s="138"/>
      <c r="W15" s="111">
        <v>3</v>
      </c>
      <c r="X15" s="100"/>
      <c r="Y15" s="104">
        <v>13</v>
      </c>
      <c r="Z15" s="130">
        <v>3</v>
      </c>
      <c r="AA15" s="130">
        <v>3</v>
      </c>
      <c r="AB15" s="130">
        <v>3</v>
      </c>
      <c r="AC15" s="108">
        <v>4</v>
      </c>
      <c r="AD15" s="108">
        <v>3</v>
      </c>
      <c r="AE15" s="108">
        <v>3</v>
      </c>
      <c r="AF15" s="108">
        <v>3</v>
      </c>
      <c r="AG15" s="108">
        <v>3</v>
      </c>
      <c r="AH15" s="108">
        <v>3</v>
      </c>
      <c r="AI15" s="108">
        <v>4</v>
      </c>
      <c r="AJ15" s="108">
        <v>3</v>
      </c>
      <c r="AK15" s="108">
        <v>4</v>
      </c>
      <c r="AL15" s="108">
        <v>3</v>
      </c>
      <c r="AM15" s="108">
        <v>4</v>
      </c>
      <c r="AN15" s="108">
        <v>3</v>
      </c>
      <c r="AO15" s="108" t="s">
        <v>246</v>
      </c>
      <c r="AP15" s="108" t="s">
        <v>246</v>
      </c>
      <c r="AQ15" s="108">
        <v>3</v>
      </c>
      <c r="AR15" s="108"/>
      <c r="AS15" s="108">
        <v>3</v>
      </c>
      <c r="AT15" s="138"/>
      <c r="AU15" s="111">
        <v>3</v>
      </c>
      <c r="AV15" s="100"/>
      <c r="AW15" s="104">
        <v>13</v>
      </c>
      <c r="AX15" s="132">
        <v>2</v>
      </c>
      <c r="AY15" s="132">
        <v>2</v>
      </c>
      <c r="AZ15" s="132">
        <v>2</v>
      </c>
      <c r="BA15" s="108">
        <v>4</v>
      </c>
      <c r="BB15" s="108">
        <v>2</v>
      </c>
      <c r="BC15" s="108">
        <v>3</v>
      </c>
      <c r="BD15" s="108">
        <v>2</v>
      </c>
      <c r="BE15" s="108">
        <v>3</v>
      </c>
      <c r="BF15" s="108">
        <v>3</v>
      </c>
      <c r="BG15" s="108">
        <v>3</v>
      </c>
      <c r="BH15" s="108">
        <v>2</v>
      </c>
      <c r="BI15" s="108">
        <v>2</v>
      </c>
      <c r="BJ15" s="108">
        <v>2</v>
      </c>
      <c r="BK15" s="108">
        <v>3</v>
      </c>
      <c r="BL15" s="108">
        <v>2</v>
      </c>
      <c r="BM15" s="108" t="s">
        <v>246</v>
      </c>
      <c r="BN15" s="108" t="s">
        <v>246</v>
      </c>
      <c r="BO15" s="108">
        <v>2</v>
      </c>
      <c r="BP15" s="108"/>
      <c r="BQ15" s="108">
        <v>3</v>
      </c>
      <c r="BR15" s="138"/>
      <c r="BS15" s="111">
        <v>3</v>
      </c>
    </row>
    <row r="16" spans="1:71" x14ac:dyDescent="0.25">
      <c r="A16" s="104">
        <v>14</v>
      </c>
      <c r="B16" s="130">
        <v>3</v>
      </c>
      <c r="C16" s="130">
        <v>3</v>
      </c>
      <c r="D16" s="130">
        <v>3</v>
      </c>
      <c r="E16" s="107">
        <v>4</v>
      </c>
      <c r="F16" s="108">
        <v>3</v>
      </c>
      <c r="G16" s="108">
        <v>3</v>
      </c>
      <c r="H16" s="108">
        <v>3</v>
      </c>
      <c r="I16" s="108">
        <v>5</v>
      </c>
      <c r="J16" s="107">
        <v>3</v>
      </c>
      <c r="K16" s="108">
        <v>5</v>
      </c>
      <c r="L16" s="108">
        <v>3</v>
      </c>
      <c r="M16" s="108">
        <v>3</v>
      </c>
      <c r="N16" s="108">
        <v>3</v>
      </c>
      <c r="O16" s="108">
        <v>5</v>
      </c>
      <c r="P16" s="108">
        <v>5</v>
      </c>
      <c r="Q16" s="108">
        <v>3</v>
      </c>
      <c r="R16" s="108">
        <v>5</v>
      </c>
      <c r="S16" s="108">
        <v>3</v>
      </c>
      <c r="T16" s="108"/>
      <c r="U16" s="108">
        <v>5</v>
      </c>
      <c r="V16" s="138"/>
      <c r="W16" s="111">
        <v>3</v>
      </c>
      <c r="X16" s="100"/>
      <c r="Y16" s="104">
        <v>14</v>
      </c>
      <c r="Z16" s="130">
        <v>4</v>
      </c>
      <c r="AA16" s="130">
        <v>3</v>
      </c>
      <c r="AB16" s="130">
        <v>3</v>
      </c>
      <c r="AC16" s="108">
        <v>4</v>
      </c>
      <c r="AD16" s="108">
        <v>3</v>
      </c>
      <c r="AE16" s="108">
        <v>3</v>
      </c>
      <c r="AF16" s="108">
        <v>3</v>
      </c>
      <c r="AG16" s="108">
        <v>4</v>
      </c>
      <c r="AH16" s="108">
        <v>4</v>
      </c>
      <c r="AI16" s="108">
        <v>4</v>
      </c>
      <c r="AJ16" s="108">
        <v>3</v>
      </c>
      <c r="AK16" s="108">
        <v>4</v>
      </c>
      <c r="AL16" s="108">
        <v>4</v>
      </c>
      <c r="AM16" s="108">
        <v>4</v>
      </c>
      <c r="AN16" s="108">
        <v>4</v>
      </c>
      <c r="AO16" s="108" t="s">
        <v>246</v>
      </c>
      <c r="AP16" s="108" t="s">
        <v>246</v>
      </c>
      <c r="AQ16" s="108">
        <v>3</v>
      </c>
      <c r="AR16" s="108"/>
      <c r="AS16" s="108">
        <v>3</v>
      </c>
      <c r="AT16" s="138"/>
      <c r="AU16" s="111">
        <v>3</v>
      </c>
      <c r="AV16" s="100"/>
      <c r="AW16" s="104">
        <v>14</v>
      </c>
      <c r="AX16" s="132">
        <v>3</v>
      </c>
      <c r="AY16" s="132">
        <v>3</v>
      </c>
      <c r="AZ16" s="132">
        <v>3</v>
      </c>
      <c r="BA16" s="108">
        <v>4</v>
      </c>
      <c r="BB16" s="108">
        <v>3</v>
      </c>
      <c r="BC16" s="108">
        <v>3</v>
      </c>
      <c r="BD16" s="108">
        <v>3</v>
      </c>
      <c r="BE16" s="108">
        <v>3</v>
      </c>
      <c r="BF16" s="108">
        <v>3</v>
      </c>
      <c r="BG16" s="108">
        <v>3</v>
      </c>
      <c r="BH16" s="108">
        <v>3</v>
      </c>
      <c r="BI16" s="108">
        <v>3</v>
      </c>
      <c r="BJ16" s="108">
        <v>33</v>
      </c>
      <c r="BK16" s="108">
        <v>3</v>
      </c>
      <c r="BL16" s="108">
        <v>3</v>
      </c>
      <c r="BM16" s="108" t="s">
        <v>246</v>
      </c>
      <c r="BN16" s="108" t="s">
        <v>246</v>
      </c>
      <c r="BO16" s="108">
        <v>3</v>
      </c>
      <c r="BP16" s="108"/>
      <c r="BQ16" s="108">
        <v>3</v>
      </c>
      <c r="BR16" s="138"/>
      <c r="BS16" s="111">
        <v>3</v>
      </c>
    </row>
    <row r="17" spans="1:71" x14ac:dyDescent="0.25">
      <c r="A17" s="104">
        <v>15</v>
      </c>
      <c r="B17" s="130">
        <v>3</v>
      </c>
      <c r="C17" s="130">
        <v>3</v>
      </c>
      <c r="D17" s="130">
        <v>3</v>
      </c>
      <c r="E17" s="107">
        <v>5</v>
      </c>
      <c r="F17" s="108">
        <v>3</v>
      </c>
      <c r="G17" s="108">
        <v>3</v>
      </c>
      <c r="H17" s="108">
        <v>3</v>
      </c>
      <c r="I17" s="108">
        <v>5</v>
      </c>
      <c r="J17" s="107">
        <v>3</v>
      </c>
      <c r="K17" s="108">
        <v>5</v>
      </c>
      <c r="L17" s="108">
        <v>3</v>
      </c>
      <c r="M17" s="108">
        <v>3</v>
      </c>
      <c r="N17" s="108">
        <v>3</v>
      </c>
      <c r="O17" s="108">
        <v>5</v>
      </c>
      <c r="P17" s="108">
        <v>5</v>
      </c>
      <c r="Q17" s="108">
        <v>3</v>
      </c>
      <c r="R17" s="108">
        <v>7</v>
      </c>
      <c r="S17" s="108">
        <v>3</v>
      </c>
      <c r="T17" s="108">
        <v>3</v>
      </c>
      <c r="U17" s="108">
        <v>5</v>
      </c>
      <c r="V17" s="138">
        <v>3</v>
      </c>
      <c r="W17" s="111">
        <v>5</v>
      </c>
      <c r="X17" s="100"/>
      <c r="Y17" s="104">
        <v>15</v>
      </c>
      <c r="Z17" s="130">
        <v>4</v>
      </c>
      <c r="AA17" s="130">
        <v>3</v>
      </c>
      <c r="AB17" s="130">
        <v>3</v>
      </c>
      <c r="AC17" s="108">
        <v>4</v>
      </c>
      <c r="AD17" s="108">
        <v>3</v>
      </c>
      <c r="AE17" s="108">
        <v>3</v>
      </c>
      <c r="AF17" s="108">
        <v>3</v>
      </c>
      <c r="AG17" s="108">
        <v>4</v>
      </c>
      <c r="AH17" s="108">
        <v>4</v>
      </c>
      <c r="AI17" s="108">
        <v>4</v>
      </c>
      <c r="AJ17" s="108">
        <v>3</v>
      </c>
      <c r="AK17" s="108">
        <v>4</v>
      </c>
      <c r="AL17" s="108">
        <v>4</v>
      </c>
      <c r="AM17" s="108">
        <v>4</v>
      </c>
      <c r="AN17" s="108">
        <v>4</v>
      </c>
      <c r="AO17" s="108" t="s">
        <v>246</v>
      </c>
      <c r="AP17" s="108" t="s">
        <v>246</v>
      </c>
      <c r="AQ17" s="108">
        <v>3</v>
      </c>
      <c r="AR17" s="108">
        <v>3</v>
      </c>
      <c r="AS17" s="108">
        <v>3</v>
      </c>
      <c r="AT17" s="138">
        <v>3</v>
      </c>
      <c r="AU17" s="111">
        <v>3</v>
      </c>
      <c r="AV17" s="100"/>
      <c r="AW17" s="104">
        <v>15</v>
      </c>
      <c r="AX17" s="132">
        <v>3</v>
      </c>
      <c r="AY17" s="132">
        <v>3</v>
      </c>
      <c r="AZ17" s="132">
        <v>3</v>
      </c>
      <c r="BA17" s="108">
        <v>4</v>
      </c>
      <c r="BB17" s="108">
        <v>3</v>
      </c>
      <c r="BC17" s="108">
        <v>3</v>
      </c>
      <c r="BD17" s="108">
        <v>3</v>
      </c>
      <c r="BE17" s="108">
        <v>3</v>
      </c>
      <c r="BF17" s="108">
        <v>3</v>
      </c>
      <c r="BG17" s="108">
        <v>3</v>
      </c>
      <c r="BH17" s="108">
        <v>3</v>
      </c>
      <c r="BI17" s="108">
        <v>3</v>
      </c>
      <c r="BJ17" s="108">
        <v>3</v>
      </c>
      <c r="BK17" s="108">
        <v>3</v>
      </c>
      <c r="BL17" s="108">
        <v>3</v>
      </c>
      <c r="BM17" s="108" t="s">
        <v>246</v>
      </c>
      <c r="BN17" s="108" t="s">
        <v>246</v>
      </c>
      <c r="BO17" s="108">
        <v>3</v>
      </c>
      <c r="BP17" s="108">
        <v>3</v>
      </c>
      <c r="BQ17" s="108">
        <v>3</v>
      </c>
      <c r="BR17" s="138">
        <v>3</v>
      </c>
      <c r="BS17" s="111">
        <v>3</v>
      </c>
    </row>
    <row r="18" spans="1:71" x14ac:dyDescent="0.25">
      <c r="A18" s="104">
        <v>16</v>
      </c>
      <c r="B18" s="130">
        <v>3</v>
      </c>
      <c r="C18" s="130">
        <v>3</v>
      </c>
      <c r="D18" s="130">
        <v>3</v>
      </c>
      <c r="E18" s="107">
        <v>5</v>
      </c>
      <c r="F18" s="108">
        <v>3</v>
      </c>
      <c r="G18" s="108">
        <v>3</v>
      </c>
      <c r="H18" s="108">
        <v>3</v>
      </c>
      <c r="I18" s="108">
        <v>5</v>
      </c>
      <c r="J18" s="107">
        <v>3</v>
      </c>
      <c r="K18" s="108">
        <v>5</v>
      </c>
      <c r="L18" s="108">
        <v>3</v>
      </c>
      <c r="M18" s="108">
        <v>3</v>
      </c>
      <c r="N18" s="108">
        <v>5</v>
      </c>
      <c r="O18" s="108">
        <v>5</v>
      </c>
      <c r="P18" s="108">
        <v>5</v>
      </c>
      <c r="Q18" s="108">
        <v>5</v>
      </c>
      <c r="R18" s="108">
        <v>7</v>
      </c>
      <c r="S18" s="108">
        <v>3</v>
      </c>
      <c r="T18" s="108">
        <v>3</v>
      </c>
      <c r="U18" s="108">
        <v>5</v>
      </c>
      <c r="V18" s="138"/>
      <c r="W18" s="111">
        <v>5</v>
      </c>
      <c r="X18" s="100"/>
      <c r="Y18" s="104">
        <v>16</v>
      </c>
      <c r="Z18" s="130">
        <v>4</v>
      </c>
      <c r="AA18" s="130">
        <v>3</v>
      </c>
      <c r="AB18" s="130">
        <v>3</v>
      </c>
      <c r="AC18" s="108">
        <v>5</v>
      </c>
      <c r="AD18" s="108">
        <v>3</v>
      </c>
      <c r="AE18" s="108">
        <v>3</v>
      </c>
      <c r="AF18" s="108">
        <v>3</v>
      </c>
      <c r="AG18" s="108">
        <v>4</v>
      </c>
      <c r="AH18" s="108">
        <v>4</v>
      </c>
      <c r="AI18" s="108">
        <v>4</v>
      </c>
      <c r="AJ18" s="108">
        <v>3</v>
      </c>
      <c r="AK18" s="108">
        <v>4</v>
      </c>
      <c r="AL18" s="108">
        <v>4</v>
      </c>
      <c r="AM18" s="108">
        <v>4</v>
      </c>
      <c r="AN18" s="108">
        <v>4</v>
      </c>
      <c r="AO18" s="108" t="s">
        <v>246</v>
      </c>
      <c r="AP18" s="108" t="s">
        <v>246</v>
      </c>
      <c r="AQ18" s="108">
        <v>3</v>
      </c>
      <c r="AR18" s="108">
        <v>3</v>
      </c>
      <c r="AS18" s="108">
        <v>3</v>
      </c>
      <c r="AT18" s="138"/>
      <c r="AU18" s="111">
        <v>3</v>
      </c>
      <c r="AV18" s="100"/>
      <c r="AW18" s="104">
        <v>16</v>
      </c>
      <c r="AX18" s="132">
        <v>3</v>
      </c>
      <c r="AY18" s="132">
        <v>3</v>
      </c>
      <c r="AZ18" s="132">
        <v>3</v>
      </c>
      <c r="BA18" s="108">
        <v>4</v>
      </c>
      <c r="BB18" s="108">
        <v>3</v>
      </c>
      <c r="BC18" s="108">
        <v>3</v>
      </c>
      <c r="BD18" s="108">
        <v>3</v>
      </c>
      <c r="BE18" s="108">
        <v>3</v>
      </c>
      <c r="BF18" s="108">
        <v>3</v>
      </c>
      <c r="BG18" s="108">
        <v>3</v>
      </c>
      <c r="BH18" s="108">
        <v>3</v>
      </c>
      <c r="BI18" s="108">
        <v>3</v>
      </c>
      <c r="BJ18" s="108">
        <v>3</v>
      </c>
      <c r="BK18" s="108">
        <v>3</v>
      </c>
      <c r="BL18" s="108">
        <v>3</v>
      </c>
      <c r="BM18" s="108" t="s">
        <v>246</v>
      </c>
      <c r="BN18" s="108" t="s">
        <v>246</v>
      </c>
      <c r="BO18" s="108">
        <v>3</v>
      </c>
      <c r="BP18" s="108">
        <v>3</v>
      </c>
      <c r="BQ18" s="108">
        <v>3</v>
      </c>
      <c r="BR18" s="138"/>
      <c r="BS18" s="111">
        <v>3</v>
      </c>
    </row>
    <row r="19" spans="1:71" x14ac:dyDescent="0.25">
      <c r="A19" s="104">
        <v>17</v>
      </c>
      <c r="B19" s="130">
        <v>3</v>
      </c>
      <c r="C19" s="130">
        <v>3</v>
      </c>
      <c r="D19" s="130">
        <v>3</v>
      </c>
      <c r="E19" s="107">
        <v>5</v>
      </c>
      <c r="F19" s="108">
        <v>3</v>
      </c>
      <c r="G19" s="108">
        <v>3</v>
      </c>
      <c r="H19" s="108">
        <v>3</v>
      </c>
      <c r="I19" s="108">
        <v>5</v>
      </c>
      <c r="J19" s="107">
        <v>3</v>
      </c>
      <c r="K19" s="108">
        <v>5</v>
      </c>
      <c r="L19" s="108">
        <v>3</v>
      </c>
      <c r="M19" s="108">
        <v>3</v>
      </c>
      <c r="N19" s="108">
        <v>5</v>
      </c>
      <c r="O19" s="108">
        <v>5</v>
      </c>
      <c r="P19" s="108">
        <v>5</v>
      </c>
      <c r="Q19" s="108">
        <v>5</v>
      </c>
      <c r="R19" s="108">
        <v>7</v>
      </c>
      <c r="S19" s="108">
        <v>3</v>
      </c>
      <c r="T19" s="108">
        <v>3</v>
      </c>
      <c r="U19" s="108">
        <v>5</v>
      </c>
      <c r="V19" s="138"/>
      <c r="W19" s="111">
        <v>5</v>
      </c>
      <c r="X19" s="100"/>
      <c r="Y19" s="104">
        <v>17</v>
      </c>
      <c r="Z19" s="130">
        <v>4</v>
      </c>
      <c r="AA19" s="130">
        <v>3</v>
      </c>
      <c r="AB19" s="130">
        <v>3</v>
      </c>
      <c r="AC19" s="108">
        <v>5</v>
      </c>
      <c r="AD19" s="108">
        <v>3</v>
      </c>
      <c r="AE19" s="108">
        <v>3</v>
      </c>
      <c r="AF19" s="108">
        <v>3</v>
      </c>
      <c r="AG19" s="108">
        <v>4</v>
      </c>
      <c r="AH19" s="108">
        <v>4</v>
      </c>
      <c r="AI19" s="108">
        <v>4</v>
      </c>
      <c r="AJ19" s="108">
        <v>3</v>
      </c>
      <c r="AK19" s="108">
        <v>4</v>
      </c>
      <c r="AL19" s="108">
        <v>4</v>
      </c>
      <c r="AM19" s="108">
        <v>4</v>
      </c>
      <c r="AN19" s="108">
        <v>4</v>
      </c>
      <c r="AO19" s="108" t="s">
        <v>246</v>
      </c>
      <c r="AP19" s="108" t="s">
        <v>246</v>
      </c>
      <c r="AQ19" s="108">
        <v>3</v>
      </c>
      <c r="AR19" s="108">
        <v>3</v>
      </c>
      <c r="AS19" s="108">
        <v>3</v>
      </c>
      <c r="AT19" s="138"/>
      <c r="AU19" s="111">
        <v>3</v>
      </c>
      <c r="AV19" s="100"/>
      <c r="AW19" s="104">
        <v>17</v>
      </c>
      <c r="AX19" s="132">
        <v>3</v>
      </c>
      <c r="AY19" s="132">
        <v>3</v>
      </c>
      <c r="AZ19" s="132">
        <v>3</v>
      </c>
      <c r="BA19" s="108">
        <v>4</v>
      </c>
      <c r="BB19" s="108">
        <v>3</v>
      </c>
      <c r="BC19" s="108">
        <v>3</v>
      </c>
      <c r="BD19" s="108">
        <v>3</v>
      </c>
      <c r="BE19" s="108">
        <v>3</v>
      </c>
      <c r="BF19" s="108">
        <v>3</v>
      </c>
      <c r="BG19" s="108">
        <v>3</v>
      </c>
      <c r="BH19" s="108">
        <v>3</v>
      </c>
      <c r="BI19" s="108">
        <v>3</v>
      </c>
      <c r="BJ19" s="108">
        <v>3</v>
      </c>
      <c r="BK19" s="108">
        <v>3</v>
      </c>
      <c r="BL19" s="108">
        <v>3</v>
      </c>
      <c r="BM19" s="108" t="s">
        <v>246</v>
      </c>
      <c r="BN19" s="108" t="s">
        <v>246</v>
      </c>
      <c r="BO19" s="108">
        <v>3</v>
      </c>
      <c r="BP19" s="108">
        <v>3</v>
      </c>
      <c r="BQ19" s="108">
        <v>3</v>
      </c>
      <c r="BR19" s="138"/>
      <c r="BS19" s="111">
        <v>3</v>
      </c>
    </row>
    <row r="20" spans="1:71" x14ac:dyDescent="0.25">
      <c r="A20" s="104">
        <v>18</v>
      </c>
      <c r="B20" s="130">
        <v>3</v>
      </c>
      <c r="C20" s="130">
        <v>3</v>
      </c>
      <c r="D20" s="130">
        <v>3</v>
      </c>
      <c r="E20" s="107">
        <v>5</v>
      </c>
      <c r="F20" s="108">
        <v>3</v>
      </c>
      <c r="G20" s="108">
        <v>3</v>
      </c>
      <c r="H20" s="108">
        <v>3</v>
      </c>
      <c r="I20" s="108">
        <v>5</v>
      </c>
      <c r="J20" s="107">
        <v>3</v>
      </c>
      <c r="K20" s="108">
        <v>5</v>
      </c>
      <c r="L20" s="108">
        <v>3</v>
      </c>
      <c r="M20" s="108">
        <v>3</v>
      </c>
      <c r="N20" s="108">
        <v>5</v>
      </c>
      <c r="O20" s="108">
        <v>5</v>
      </c>
      <c r="P20" s="108">
        <v>5</v>
      </c>
      <c r="Q20" s="108">
        <v>5</v>
      </c>
      <c r="R20" s="108">
        <v>7</v>
      </c>
      <c r="S20" s="108">
        <v>3</v>
      </c>
      <c r="T20" s="108">
        <v>3</v>
      </c>
      <c r="U20" s="108">
        <v>5</v>
      </c>
      <c r="V20" s="138">
        <v>3</v>
      </c>
      <c r="W20" s="111">
        <v>5</v>
      </c>
      <c r="X20" s="100"/>
      <c r="Y20" s="104">
        <v>18</v>
      </c>
      <c r="Z20" s="130">
        <v>4</v>
      </c>
      <c r="AA20" s="130">
        <v>3</v>
      </c>
      <c r="AB20" s="130">
        <v>3</v>
      </c>
      <c r="AC20" s="108">
        <v>5</v>
      </c>
      <c r="AD20" s="108">
        <v>3</v>
      </c>
      <c r="AE20" s="108">
        <v>3</v>
      </c>
      <c r="AF20" s="108">
        <v>3</v>
      </c>
      <c r="AG20" s="108">
        <v>4</v>
      </c>
      <c r="AH20" s="108">
        <v>4</v>
      </c>
      <c r="AI20" s="108">
        <v>4</v>
      </c>
      <c r="AJ20" s="108">
        <v>3</v>
      </c>
      <c r="AK20" s="108">
        <v>4</v>
      </c>
      <c r="AL20" s="108">
        <v>4</v>
      </c>
      <c r="AM20" s="108">
        <v>4</v>
      </c>
      <c r="AN20" s="108">
        <v>4</v>
      </c>
      <c r="AO20" s="108" t="s">
        <v>246</v>
      </c>
      <c r="AP20" s="108" t="s">
        <v>246</v>
      </c>
      <c r="AQ20" s="108">
        <v>3</v>
      </c>
      <c r="AR20" s="108">
        <v>3</v>
      </c>
      <c r="AS20" s="108">
        <v>3</v>
      </c>
      <c r="AT20" s="138">
        <v>3</v>
      </c>
      <c r="AU20" s="111">
        <v>3</v>
      </c>
      <c r="AV20" s="100"/>
      <c r="AW20" s="104">
        <v>18</v>
      </c>
      <c r="AX20" s="132">
        <v>3</v>
      </c>
      <c r="AY20" s="132">
        <v>3</v>
      </c>
      <c r="AZ20" s="132">
        <v>3</v>
      </c>
      <c r="BA20" s="108">
        <v>4</v>
      </c>
      <c r="BB20" s="108">
        <v>3</v>
      </c>
      <c r="BC20" s="108">
        <v>3</v>
      </c>
      <c r="BD20" s="108">
        <v>3</v>
      </c>
      <c r="BE20" s="108">
        <v>3</v>
      </c>
      <c r="BF20" s="108">
        <v>3</v>
      </c>
      <c r="BG20" s="108">
        <v>3</v>
      </c>
      <c r="BH20" s="108">
        <v>3</v>
      </c>
      <c r="BI20" s="108">
        <v>3</v>
      </c>
      <c r="BJ20" s="108">
        <v>3</v>
      </c>
      <c r="BK20" s="108">
        <v>3</v>
      </c>
      <c r="BL20" s="108">
        <v>3</v>
      </c>
      <c r="BM20" s="108" t="s">
        <v>246</v>
      </c>
      <c r="BN20" s="108" t="s">
        <v>246</v>
      </c>
      <c r="BO20" s="108">
        <v>3</v>
      </c>
      <c r="BP20" s="108">
        <v>3</v>
      </c>
      <c r="BQ20" s="108">
        <v>3</v>
      </c>
      <c r="BR20" s="138">
        <v>3</v>
      </c>
      <c r="BS20" s="111">
        <v>3</v>
      </c>
    </row>
    <row r="21" spans="1:71" x14ac:dyDescent="0.25">
      <c r="A21" s="104">
        <v>19</v>
      </c>
      <c r="B21" s="130">
        <v>3</v>
      </c>
      <c r="C21" s="130">
        <v>3</v>
      </c>
      <c r="D21" s="130">
        <v>3</v>
      </c>
      <c r="E21" s="107">
        <v>5</v>
      </c>
      <c r="F21" s="108">
        <v>3</v>
      </c>
      <c r="G21" s="108">
        <v>3</v>
      </c>
      <c r="H21" s="108">
        <v>3</v>
      </c>
      <c r="I21" s="108">
        <v>5</v>
      </c>
      <c r="J21" s="107">
        <v>5</v>
      </c>
      <c r="K21" s="108">
        <v>5</v>
      </c>
      <c r="L21" s="108">
        <v>3</v>
      </c>
      <c r="M21" s="108">
        <v>3</v>
      </c>
      <c r="N21" s="108">
        <v>5</v>
      </c>
      <c r="O21" s="108">
        <v>5</v>
      </c>
      <c r="P21" s="108">
        <v>5</v>
      </c>
      <c r="Q21" s="108">
        <v>5</v>
      </c>
      <c r="R21" s="108">
        <v>9</v>
      </c>
      <c r="S21" s="108">
        <v>3</v>
      </c>
      <c r="T21" s="108">
        <v>3</v>
      </c>
      <c r="U21" s="108">
        <v>5</v>
      </c>
      <c r="V21" s="138"/>
      <c r="W21" s="111">
        <v>5</v>
      </c>
      <c r="X21" s="100"/>
      <c r="Y21" s="104">
        <v>19</v>
      </c>
      <c r="Z21" s="130">
        <v>4</v>
      </c>
      <c r="AA21" s="130">
        <v>3</v>
      </c>
      <c r="AB21" s="130">
        <v>3</v>
      </c>
      <c r="AC21" s="108">
        <v>5</v>
      </c>
      <c r="AD21" s="108">
        <v>3</v>
      </c>
      <c r="AE21" s="108">
        <v>3</v>
      </c>
      <c r="AF21" s="108">
        <v>3</v>
      </c>
      <c r="AG21" s="108">
        <v>5</v>
      </c>
      <c r="AH21" s="108">
        <v>5</v>
      </c>
      <c r="AI21" s="108">
        <v>5</v>
      </c>
      <c r="AJ21" s="108">
        <v>3</v>
      </c>
      <c r="AK21" s="108">
        <v>4</v>
      </c>
      <c r="AL21" s="108">
        <v>4</v>
      </c>
      <c r="AM21" s="108">
        <v>5</v>
      </c>
      <c r="AN21" s="108">
        <v>4</v>
      </c>
      <c r="AO21" s="108" t="s">
        <v>246</v>
      </c>
      <c r="AP21" s="108" t="s">
        <v>246</v>
      </c>
      <c r="AQ21" s="108">
        <v>3</v>
      </c>
      <c r="AR21" s="108">
        <v>3</v>
      </c>
      <c r="AS21" s="108">
        <v>4</v>
      </c>
      <c r="AT21" s="138"/>
      <c r="AU21" s="111">
        <v>4</v>
      </c>
      <c r="AV21" s="100"/>
      <c r="AW21" s="104">
        <v>19</v>
      </c>
      <c r="AX21" s="132">
        <v>3</v>
      </c>
      <c r="AY21" s="132">
        <v>3</v>
      </c>
      <c r="AZ21" s="132">
        <v>3</v>
      </c>
      <c r="BA21" s="108">
        <v>5</v>
      </c>
      <c r="BB21" s="108">
        <v>3</v>
      </c>
      <c r="BC21" s="108">
        <v>3</v>
      </c>
      <c r="BD21" s="108">
        <v>3</v>
      </c>
      <c r="BE21" s="108">
        <v>3</v>
      </c>
      <c r="BF21" s="108">
        <v>3</v>
      </c>
      <c r="BG21" s="108">
        <v>3</v>
      </c>
      <c r="BH21" s="108">
        <v>3</v>
      </c>
      <c r="BI21" s="108">
        <v>3</v>
      </c>
      <c r="BJ21" s="108">
        <v>3</v>
      </c>
      <c r="BK21" s="108">
        <v>3</v>
      </c>
      <c r="BL21" s="108">
        <v>3</v>
      </c>
      <c r="BM21" s="108" t="s">
        <v>246</v>
      </c>
      <c r="BN21" s="108" t="s">
        <v>246</v>
      </c>
      <c r="BO21" s="108">
        <v>3</v>
      </c>
      <c r="BP21" s="108">
        <v>3</v>
      </c>
      <c r="BQ21" s="108">
        <v>3</v>
      </c>
      <c r="BR21" s="138"/>
      <c r="BS21" s="111">
        <v>3</v>
      </c>
    </row>
    <row r="22" spans="1:71" x14ac:dyDescent="0.25">
      <c r="A22" s="104">
        <v>20</v>
      </c>
      <c r="B22" s="130">
        <v>5</v>
      </c>
      <c r="C22" s="130">
        <v>5</v>
      </c>
      <c r="D22" s="130">
        <v>5</v>
      </c>
      <c r="E22" s="107">
        <v>6</v>
      </c>
      <c r="F22" s="108">
        <v>5</v>
      </c>
      <c r="G22" s="108">
        <v>5</v>
      </c>
      <c r="H22" s="108">
        <v>5</v>
      </c>
      <c r="I22" s="108">
        <v>5</v>
      </c>
      <c r="J22" s="107">
        <v>5</v>
      </c>
      <c r="K22" s="108">
        <v>5</v>
      </c>
      <c r="L22" s="108">
        <v>3</v>
      </c>
      <c r="M22" s="108">
        <v>5</v>
      </c>
      <c r="N22" s="108">
        <v>5</v>
      </c>
      <c r="O22" s="108">
        <v>5</v>
      </c>
      <c r="P22" s="108">
        <v>5</v>
      </c>
      <c r="Q22" s="108">
        <v>5</v>
      </c>
      <c r="R22" s="108">
        <v>9</v>
      </c>
      <c r="S22" s="108">
        <v>3</v>
      </c>
      <c r="T22" s="108">
        <v>3</v>
      </c>
      <c r="U22" s="108">
        <v>5</v>
      </c>
      <c r="V22" s="138"/>
      <c r="W22" s="111">
        <v>5</v>
      </c>
      <c r="X22" s="100"/>
      <c r="Y22" s="104">
        <v>20</v>
      </c>
      <c r="Z22" s="130">
        <v>5</v>
      </c>
      <c r="AA22" s="130">
        <v>4</v>
      </c>
      <c r="AB22" s="130">
        <v>4</v>
      </c>
      <c r="AC22" s="108">
        <v>5</v>
      </c>
      <c r="AD22" s="108">
        <v>4</v>
      </c>
      <c r="AE22" s="108">
        <v>4</v>
      </c>
      <c r="AF22" s="108">
        <v>4</v>
      </c>
      <c r="AG22" s="108">
        <v>5</v>
      </c>
      <c r="AH22" s="108">
        <v>5</v>
      </c>
      <c r="AI22" s="108">
        <v>5</v>
      </c>
      <c r="AJ22" s="108">
        <v>4</v>
      </c>
      <c r="AK22" s="108">
        <v>5</v>
      </c>
      <c r="AL22" s="108">
        <v>5</v>
      </c>
      <c r="AM22" s="108">
        <v>5</v>
      </c>
      <c r="AN22" s="108">
        <v>5</v>
      </c>
      <c r="AO22" s="108" t="s">
        <v>246</v>
      </c>
      <c r="AP22" s="108" t="s">
        <v>246</v>
      </c>
      <c r="AQ22" s="108">
        <v>4</v>
      </c>
      <c r="AR22" s="108">
        <v>3</v>
      </c>
      <c r="AS22" s="108">
        <v>4</v>
      </c>
      <c r="AT22" s="138"/>
      <c r="AU22" s="111">
        <v>4</v>
      </c>
      <c r="AV22" s="100"/>
      <c r="AW22" s="104">
        <v>20</v>
      </c>
      <c r="AX22" s="132">
        <v>3</v>
      </c>
      <c r="AY22" s="132">
        <v>3</v>
      </c>
      <c r="AZ22" s="132">
        <v>3</v>
      </c>
      <c r="BA22" s="108">
        <v>5</v>
      </c>
      <c r="BB22" s="108">
        <v>3</v>
      </c>
      <c r="BC22" s="108">
        <v>3</v>
      </c>
      <c r="BD22" s="108">
        <v>3</v>
      </c>
      <c r="BE22" s="108">
        <v>3</v>
      </c>
      <c r="BF22" s="108">
        <v>3</v>
      </c>
      <c r="BG22" s="108">
        <v>3</v>
      </c>
      <c r="BH22" s="108">
        <v>3</v>
      </c>
      <c r="BI22" s="108">
        <v>3</v>
      </c>
      <c r="BJ22" s="108">
        <v>3</v>
      </c>
      <c r="BK22" s="108">
        <v>3</v>
      </c>
      <c r="BL22" s="108">
        <v>3</v>
      </c>
      <c r="BM22" s="108" t="s">
        <v>246</v>
      </c>
      <c r="BN22" s="108" t="s">
        <v>246</v>
      </c>
      <c r="BO22" s="108">
        <v>3</v>
      </c>
      <c r="BP22" s="108">
        <v>3</v>
      </c>
      <c r="BQ22" s="108">
        <v>3</v>
      </c>
      <c r="BR22" s="138"/>
      <c r="BS22" s="111">
        <v>3</v>
      </c>
    </row>
    <row r="23" spans="1:71" x14ac:dyDescent="0.25">
      <c r="A23" s="104">
        <v>21</v>
      </c>
      <c r="B23" s="130">
        <v>5</v>
      </c>
      <c r="C23" s="130">
        <v>5</v>
      </c>
      <c r="D23" s="130">
        <v>5</v>
      </c>
      <c r="E23" s="107">
        <v>6</v>
      </c>
      <c r="F23" s="108">
        <v>5</v>
      </c>
      <c r="G23" s="108">
        <v>5</v>
      </c>
      <c r="H23" s="108">
        <v>5</v>
      </c>
      <c r="I23" s="108">
        <v>7</v>
      </c>
      <c r="J23" s="107">
        <v>5</v>
      </c>
      <c r="K23" s="108">
        <v>7</v>
      </c>
      <c r="L23" s="108">
        <v>3</v>
      </c>
      <c r="M23" s="108">
        <v>5</v>
      </c>
      <c r="N23" s="108">
        <v>5</v>
      </c>
      <c r="O23" s="108">
        <v>7</v>
      </c>
      <c r="P23" s="108">
        <v>5</v>
      </c>
      <c r="Q23" s="108">
        <v>5</v>
      </c>
      <c r="R23" s="108">
        <v>9</v>
      </c>
      <c r="S23" s="108">
        <v>3</v>
      </c>
      <c r="T23" s="108">
        <v>3</v>
      </c>
      <c r="U23" s="108">
        <v>7</v>
      </c>
      <c r="V23" s="138">
        <v>4</v>
      </c>
      <c r="W23" s="111">
        <v>5</v>
      </c>
      <c r="X23" s="100"/>
      <c r="Y23" s="104">
        <v>21</v>
      </c>
      <c r="Z23" s="130">
        <v>5</v>
      </c>
      <c r="AA23" s="130">
        <v>4</v>
      </c>
      <c r="AB23" s="130">
        <v>4</v>
      </c>
      <c r="AC23" s="108">
        <v>6</v>
      </c>
      <c r="AD23" s="108">
        <v>4</v>
      </c>
      <c r="AE23" s="108">
        <v>4</v>
      </c>
      <c r="AF23" s="108">
        <v>4</v>
      </c>
      <c r="AG23" s="108">
        <v>5</v>
      </c>
      <c r="AH23" s="108">
        <v>5</v>
      </c>
      <c r="AI23" s="108">
        <v>5</v>
      </c>
      <c r="AJ23" s="108">
        <v>4</v>
      </c>
      <c r="AK23" s="108">
        <v>5</v>
      </c>
      <c r="AL23" s="108">
        <v>5</v>
      </c>
      <c r="AM23" s="108">
        <v>5</v>
      </c>
      <c r="AN23" s="108">
        <v>5</v>
      </c>
      <c r="AO23" s="108" t="s">
        <v>246</v>
      </c>
      <c r="AP23" s="108" t="s">
        <v>246</v>
      </c>
      <c r="AQ23" s="108">
        <v>4</v>
      </c>
      <c r="AR23" s="108">
        <v>3</v>
      </c>
      <c r="AS23" s="108">
        <v>4</v>
      </c>
      <c r="AT23" s="138">
        <v>4</v>
      </c>
      <c r="AU23" s="111">
        <v>4</v>
      </c>
      <c r="AV23" s="100"/>
      <c r="AW23" s="104">
        <v>21</v>
      </c>
      <c r="AX23" s="132">
        <v>3</v>
      </c>
      <c r="AY23" s="132">
        <v>3</v>
      </c>
      <c r="AZ23" s="132">
        <v>3</v>
      </c>
      <c r="BA23" s="108">
        <v>5</v>
      </c>
      <c r="BB23" s="108">
        <v>3</v>
      </c>
      <c r="BC23" s="108">
        <v>3</v>
      </c>
      <c r="BD23" s="108">
        <v>3</v>
      </c>
      <c r="BE23" s="108">
        <v>3</v>
      </c>
      <c r="BF23" s="108">
        <v>3</v>
      </c>
      <c r="BG23" s="108">
        <v>3</v>
      </c>
      <c r="BH23" s="108">
        <v>3</v>
      </c>
      <c r="BI23" s="108">
        <v>3</v>
      </c>
      <c r="BJ23" s="108">
        <v>3</v>
      </c>
      <c r="BK23" s="108">
        <v>3</v>
      </c>
      <c r="BL23" s="108">
        <v>3</v>
      </c>
      <c r="BM23" s="108" t="s">
        <v>246</v>
      </c>
      <c r="BN23" s="108" t="s">
        <v>246</v>
      </c>
      <c r="BO23" s="108">
        <v>3</v>
      </c>
      <c r="BP23" s="108">
        <v>3</v>
      </c>
      <c r="BQ23" s="108">
        <v>3</v>
      </c>
      <c r="BR23" s="138">
        <v>3</v>
      </c>
      <c r="BS23" s="111">
        <v>3</v>
      </c>
    </row>
    <row r="24" spans="1:71" x14ac:dyDescent="0.25">
      <c r="A24" s="104">
        <v>22</v>
      </c>
      <c r="B24" s="130">
        <v>5</v>
      </c>
      <c r="C24" s="130">
        <v>5</v>
      </c>
      <c r="D24" s="130">
        <v>5</v>
      </c>
      <c r="E24" s="107">
        <v>6</v>
      </c>
      <c r="F24" s="108">
        <v>5</v>
      </c>
      <c r="G24" s="108">
        <v>5</v>
      </c>
      <c r="H24" s="108">
        <v>5</v>
      </c>
      <c r="I24" s="108">
        <v>7</v>
      </c>
      <c r="J24" s="107">
        <v>5</v>
      </c>
      <c r="K24" s="108">
        <v>7</v>
      </c>
      <c r="L24" s="108">
        <v>3</v>
      </c>
      <c r="M24" s="108">
        <v>5</v>
      </c>
      <c r="N24" s="108">
        <v>5</v>
      </c>
      <c r="O24" s="108">
        <v>7</v>
      </c>
      <c r="P24" s="108">
        <v>5</v>
      </c>
      <c r="Q24" s="108">
        <v>5</v>
      </c>
      <c r="R24" s="108">
        <v>9</v>
      </c>
      <c r="S24" s="108">
        <v>3</v>
      </c>
      <c r="T24" s="108">
        <v>3</v>
      </c>
      <c r="U24" s="108">
        <v>7</v>
      </c>
      <c r="V24" s="138"/>
      <c r="W24" s="111">
        <v>5</v>
      </c>
      <c r="X24" s="100"/>
      <c r="Y24" s="104">
        <v>22</v>
      </c>
      <c r="Z24" s="130">
        <v>5</v>
      </c>
      <c r="AA24" s="130">
        <v>4</v>
      </c>
      <c r="AB24" s="130">
        <v>4</v>
      </c>
      <c r="AC24" s="108">
        <v>6</v>
      </c>
      <c r="AD24" s="108">
        <v>4</v>
      </c>
      <c r="AE24" s="108">
        <v>4</v>
      </c>
      <c r="AF24" s="108">
        <v>4</v>
      </c>
      <c r="AG24" s="108">
        <v>5</v>
      </c>
      <c r="AH24" s="108">
        <v>5</v>
      </c>
      <c r="AI24" s="108">
        <v>5</v>
      </c>
      <c r="AJ24" s="108">
        <v>4</v>
      </c>
      <c r="AK24" s="108">
        <v>5</v>
      </c>
      <c r="AL24" s="108">
        <v>5</v>
      </c>
      <c r="AM24" s="108">
        <v>5</v>
      </c>
      <c r="AN24" s="108">
        <v>5</v>
      </c>
      <c r="AO24" s="108" t="s">
        <v>246</v>
      </c>
      <c r="AP24" s="108" t="s">
        <v>246</v>
      </c>
      <c r="AQ24" s="108">
        <v>4</v>
      </c>
      <c r="AR24" s="108">
        <v>3</v>
      </c>
      <c r="AS24" s="108">
        <v>4</v>
      </c>
      <c r="AT24" s="138"/>
      <c r="AU24" s="111">
        <v>4</v>
      </c>
      <c r="AV24" s="100"/>
      <c r="AW24" s="104">
        <v>22</v>
      </c>
      <c r="AX24" s="132">
        <v>3</v>
      </c>
      <c r="AY24" s="132">
        <v>3</v>
      </c>
      <c r="AZ24" s="132">
        <v>3</v>
      </c>
      <c r="BA24" s="108">
        <v>5</v>
      </c>
      <c r="BB24" s="108">
        <v>3</v>
      </c>
      <c r="BC24" s="108">
        <v>3</v>
      </c>
      <c r="BD24" s="108">
        <v>3</v>
      </c>
      <c r="BE24" s="108">
        <v>3</v>
      </c>
      <c r="BF24" s="108">
        <v>3</v>
      </c>
      <c r="BG24" s="108">
        <v>3</v>
      </c>
      <c r="BH24" s="108">
        <v>3</v>
      </c>
      <c r="BI24" s="108">
        <v>3</v>
      </c>
      <c r="BJ24" s="108">
        <v>3</v>
      </c>
      <c r="BK24" s="108">
        <v>3</v>
      </c>
      <c r="BL24" s="108">
        <v>3</v>
      </c>
      <c r="BM24" s="108" t="s">
        <v>246</v>
      </c>
      <c r="BN24" s="108" t="s">
        <v>246</v>
      </c>
      <c r="BO24" s="108">
        <v>3</v>
      </c>
      <c r="BP24" s="108">
        <v>3</v>
      </c>
      <c r="BQ24" s="108">
        <v>3</v>
      </c>
      <c r="BR24" s="138"/>
      <c r="BS24" s="111">
        <v>3</v>
      </c>
    </row>
    <row r="25" spans="1:71" x14ac:dyDescent="0.25">
      <c r="A25" s="104">
        <v>23</v>
      </c>
      <c r="B25" s="130">
        <v>5</v>
      </c>
      <c r="C25" s="130">
        <v>5</v>
      </c>
      <c r="D25" s="130">
        <v>5</v>
      </c>
      <c r="E25" s="107">
        <v>6</v>
      </c>
      <c r="F25" s="108">
        <v>5</v>
      </c>
      <c r="G25" s="108">
        <v>5</v>
      </c>
      <c r="H25" s="108">
        <v>5</v>
      </c>
      <c r="I25" s="108">
        <v>7</v>
      </c>
      <c r="J25" s="107">
        <v>5</v>
      </c>
      <c r="K25" s="108">
        <v>7</v>
      </c>
      <c r="L25" s="108">
        <v>3</v>
      </c>
      <c r="M25" s="108">
        <v>5</v>
      </c>
      <c r="N25" s="108">
        <v>5</v>
      </c>
      <c r="O25" s="108">
        <v>7</v>
      </c>
      <c r="P25" s="108">
        <v>5</v>
      </c>
      <c r="Q25" s="108">
        <v>5</v>
      </c>
      <c r="R25" s="108">
        <v>9</v>
      </c>
      <c r="S25" s="108">
        <v>3</v>
      </c>
      <c r="T25" s="108">
        <v>3</v>
      </c>
      <c r="U25" s="108">
        <v>7</v>
      </c>
      <c r="V25" s="138"/>
      <c r="W25" s="111">
        <v>5</v>
      </c>
      <c r="X25" s="100"/>
      <c r="Y25" s="104">
        <v>23</v>
      </c>
      <c r="Z25" s="130">
        <v>5</v>
      </c>
      <c r="AA25" s="130">
        <v>4</v>
      </c>
      <c r="AB25" s="130">
        <v>4</v>
      </c>
      <c r="AC25" s="108">
        <v>6</v>
      </c>
      <c r="AD25" s="108">
        <v>4</v>
      </c>
      <c r="AE25" s="108">
        <v>4</v>
      </c>
      <c r="AF25" s="108">
        <v>4</v>
      </c>
      <c r="AG25" s="108">
        <v>5</v>
      </c>
      <c r="AH25" s="108">
        <v>5</v>
      </c>
      <c r="AI25" s="108">
        <v>5</v>
      </c>
      <c r="AJ25" s="108">
        <v>4</v>
      </c>
      <c r="AK25" s="108">
        <v>5</v>
      </c>
      <c r="AL25" s="108">
        <v>5</v>
      </c>
      <c r="AM25" s="108">
        <v>5</v>
      </c>
      <c r="AN25" s="108">
        <v>5</v>
      </c>
      <c r="AO25" s="108" t="s">
        <v>246</v>
      </c>
      <c r="AP25" s="108" t="s">
        <v>246</v>
      </c>
      <c r="AQ25" s="108">
        <v>4</v>
      </c>
      <c r="AR25" s="108">
        <v>3</v>
      </c>
      <c r="AS25" s="108">
        <v>4</v>
      </c>
      <c r="AT25" s="138"/>
      <c r="AU25" s="111">
        <v>4</v>
      </c>
      <c r="AV25" s="100"/>
      <c r="AW25" s="104">
        <v>23</v>
      </c>
      <c r="AX25" s="132">
        <v>3</v>
      </c>
      <c r="AY25" s="132">
        <v>3</v>
      </c>
      <c r="AZ25" s="132">
        <v>3</v>
      </c>
      <c r="BA25" s="108">
        <v>5</v>
      </c>
      <c r="BB25" s="108">
        <v>3</v>
      </c>
      <c r="BC25" s="108">
        <v>3</v>
      </c>
      <c r="BD25" s="108">
        <v>3</v>
      </c>
      <c r="BE25" s="108">
        <v>3</v>
      </c>
      <c r="BF25" s="108">
        <v>3</v>
      </c>
      <c r="BG25" s="108">
        <v>3</v>
      </c>
      <c r="BH25" s="108">
        <v>3</v>
      </c>
      <c r="BI25" s="108">
        <v>3</v>
      </c>
      <c r="BJ25" s="108">
        <v>3</v>
      </c>
      <c r="BK25" s="108">
        <v>3</v>
      </c>
      <c r="BL25" s="108">
        <v>3</v>
      </c>
      <c r="BM25" s="108" t="s">
        <v>246</v>
      </c>
      <c r="BN25" s="108" t="s">
        <v>246</v>
      </c>
      <c r="BO25" s="108">
        <v>3</v>
      </c>
      <c r="BP25" s="108">
        <v>3</v>
      </c>
      <c r="BQ25" s="108">
        <v>3</v>
      </c>
      <c r="BR25" s="138"/>
      <c r="BS25" s="111">
        <v>3</v>
      </c>
    </row>
    <row r="26" spans="1:71" x14ac:dyDescent="0.25">
      <c r="A26" s="104">
        <v>24</v>
      </c>
      <c r="B26" s="130">
        <v>5</v>
      </c>
      <c r="C26" s="130">
        <v>5</v>
      </c>
      <c r="D26" s="130">
        <v>5</v>
      </c>
      <c r="E26" s="107">
        <v>6</v>
      </c>
      <c r="F26" s="108">
        <v>5</v>
      </c>
      <c r="G26" s="108">
        <v>5</v>
      </c>
      <c r="H26" s="108">
        <v>5</v>
      </c>
      <c r="I26" s="108">
        <v>7</v>
      </c>
      <c r="J26" s="107">
        <v>5</v>
      </c>
      <c r="K26" s="108">
        <v>7</v>
      </c>
      <c r="L26" s="108">
        <v>5</v>
      </c>
      <c r="M26" s="108">
        <v>5</v>
      </c>
      <c r="N26" s="108">
        <v>7</v>
      </c>
      <c r="O26" s="108">
        <v>7</v>
      </c>
      <c r="P26" s="108">
        <v>7</v>
      </c>
      <c r="Q26" s="108">
        <v>5</v>
      </c>
      <c r="R26" s="108">
        <v>11</v>
      </c>
      <c r="S26" s="108">
        <v>5</v>
      </c>
      <c r="T26" s="108">
        <v>5</v>
      </c>
      <c r="U26" s="108">
        <v>7</v>
      </c>
      <c r="V26" s="138">
        <v>4</v>
      </c>
      <c r="W26" s="111">
        <v>5</v>
      </c>
      <c r="X26" s="100"/>
      <c r="Y26" s="104">
        <v>24</v>
      </c>
      <c r="Z26" s="130">
        <v>5</v>
      </c>
      <c r="AA26" s="130">
        <v>4</v>
      </c>
      <c r="AB26" s="130">
        <v>4</v>
      </c>
      <c r="AC26" s="108">
        <v>6</v>
      </c>
      <c r="AD26" s="108">
        <v>4</v>
      </c>
      <c r="AE26" s="108">
        <v>4</v>
      </c>
      <c r="AF26" s="108">
        <v>4</v>
      </c>
      <c r="AG26" s="108">
        <v>5</v>
      </c>
      <c r="AH26" s="108">
        <v>5</v>
      </c>
      <c r="AI26" s="108">
        <v>5</v>
      </c>
      <c r="AJ26" s="108">
        <v>4</v>
      </c>
      <c r="AK26" s="108">
        <v>5</v>
      </c>
      <c r="AL26" s="108">
        <v>5</v>
      </c>
      <c r="AM26" s="108">
        <v>5</v>
      </c>
      <c r="AN26" s="108">
        <v>5</v>
      </c>
      <c r="AO26" s="108" t="s">
        <v>246</v>
      </c>
      <c r="AP26" s="108" t="s">
        <v>246</v>
      </c>
      <c r="AQ26" s="108">
        <v>4</v>
      </c>
      <c r="AR26" s="108">
        <v>5</v>
      </c>
      <c r="AS26" s="108">
        <v>4</v>
      </c>
      <c r="AT26" s="138">
        <v>4</v>
      </c>
      <c r="AU26" s="111">
        <v>4</v>
      </c>
      <c r="AV26" s="100"/>
      <c r="AW26" s="104">
        <v>24</v>
      </c>
      <c r="AX26" s="132">
        <v>3</v>
      </c>
      <c r="AY26" s="132">
        <v>3</v>
      </c>
      <c r="AZ26" s="132">
        <v>3</v>
      </c>
      <c r="BA26" s="108">
        <v>5</v>
      </c>
      <c r="BB26" s="108">
        <v>3</v>
      </c>
      <c r="BC26" s="108">
        <v>3</v>
      </c>
      <c r="BD26" s="108">
        <v>3</v>
      </c>
      <c r="BE26" s="108">
        <v>3</v>
      </c>
      <c r="BF26" s="108">
        <v>3</v>
      </c>
      <c r="BG26" s="108">
        <v>3</v>
      </c>
      <c r="BH26" s="108">
        <v>4</v>
      </c>
      <c r="BI26" s="108">
        <v>3</v>
      </c>
      <c r="BJ26" s="108">
        <v>3</v>
      </c>
      <c r="BK26" s="108">
        <v>3</v>
      </c>
      <c r="BL26" s="108">
        <v>3</v>
      </c>
      <c r="BM26" s="108" t="s">
        <v>246</v>
      </c>
      <c r="BN26" s="108" t="s">
        <v>246</v>
      </c>
      <c r="BO26" s="108">
        <v>3</v>
      </c>
      <c r="BP26" s="108">
        <v>3</v>
      </c>
      <c r="BQ26" s="108">
        <v>3</v>
      </c>
      <c r="BR26" s="138">
        <v>3</v>
      </c>
      <c r="BS26" s="111">
        <v>3</v>
      </c>
    </row>
    <row r="27" spans="1:71" x14ac:dyDescent="0.25">
      <c r="A27" s="104">
        <v>25</v>
      </c>
      <c r="B27" s="130">
        <v>5</v>
      </c>
      <c r="C27" s="130">
        <v>5</v>
      </c>
      <c r="D27" s="130">
        <v>5</v>
      </c>
      <c r="E27" s="107">
        <v>6</v>
      </c>
      <c r="F27" s="108">
        <v>5</v>
      </c>
      <c r="G27" s="108">
        <v>5</v>
      </c>
      <c r="H27" s="108">
        <v>5</v>
      </c>
      <c r="I27" s="108">
        <v>9</v>
      </c>
      <c r="J27" s="107">
        <v>5</v>
      </c>
      <c r="K27" s="108">
        <v>9</v>
      </c>
      <c r="L27" s="108">
        <v>5</v>
      </c>
      <c r="M27" s="108">
        <v>5</v>
      </c>
      <c r="N27" s="108">
        <v>7</v>
      </c>
      <c r="O27" s="108">
        <v>9</v>
      </c>
      <c r="P27" s="108">
        <v>7</v>
      </c>
      <c r="Q27" s="108">
        <v>5</v>
      </c>
      <c r="R27" s="108">
        <v>11</v>
      </c>
      <c r="S27" s="108">
        <v>5</v>
      </c>
      <c r="T27" s="108">
        <v>5</v>
      </c>
      <c r="U27" s="108">
        <v>9</v>
      </c>
      <c r="V27" s="138"/>
      <c r="W27" s="111">
        <v>7</v>
      </c>
      <c r="X27" s="100"/>
      <c r="Y27" s="104">
        <v>25</v>
      </c>
      <c r="Z27" s="130">
        <v>5</v>
      </c>
      <c r="AA27" s="130">
        <v>4</v>
      </c>
      <c r="AB27" s="130">
        <v>4</v>
      </c>
      <c r="AC27" s="108">
        <v>6</v>
      </c>
      <c r="AD27" s="108">
        <v>4</v>
      </c>
      <c r="AE27" s="108">
        <v>4</v>
      </c>
      <c r="AF27" s="108">
        <v>4</v>
      </c>
      <c r="AG27" s="108">
        <v>6</v>
      </c>
      <c r="AH27" s="108">
        <v>6</v>
      </c>
      <c r="AI27" s="108">
        <v>6</v>
      </c>
      <c r="AJ27" s="108">
        <v>4</v>
      </c>
      <c r="AK27" s="108">
        <v>5</v>
      </c>
      <c r="AL27" s="108">
        <v>5</v>
      </c>
      <c r="AM27" s="108">
        <v>6</v>
      </c>
      <c r="AN27" s="108">
        <v>5</v>
      </c>
      <c r="AO27" s="108" t="s">
        <v>246</v>
      </c>
      <c r="AP27" s="108" t="s">
        <v>246</v>
      </c>
      <c r="AQ27" s="108">
        <v>4</v>
      </c>
      <c r="AR27" s="108">
        <v>5</v>
      </c>
      <c r="AS27" s="108">
        <v>5</v>
      </c>
      <c r="AT27" s="138"/>
      <c r="AU27" s="111">
        <v>5</v>
      </c>
      <c r="AV27" s="100"/>
      <c r="AW27" s="104">
        <v>25</v>
      </c>
      <c r="AX27" s="132">
        <v>3</v>
      </c>
      <c r="AY27" s="132">
        <v>3</v>
      </c>
      <c r="AZ27" s="132">
        <v>3</v>
      </c>
      <c r="BA27" s="108">
        <v>6</v>
      </c>
      <c r="BB27" s="108">
        <v>3</v>
      </c>
      <c r="BC27" s="108">
        <v>3</v>
      </c>
      <c r="BD27" s="108">
        <v>3</v>
      </c>
      <c r="BE27" s="108">
        <v>4</v>
      </c>
      <c r="BF27" s="108">
        <v>4</v>
      </c>
      <c r="BG27" s="108">
        <v>4</v>
      </c>
      <c r="BH27" s="108">
        <v>4</v>
      </c>
      <c r="BI27" s="108">
        <v>3</v>
      </c>
      <c r="BJ27" s="108">
        <v>3</v>
      </c>
      <c r="BK27" s="108">
        <v>4</v>
      </c>
      <c r="BL27" s="108">
        <v>3</v>
      </c>
      <c r="BM27" s="108" t="s">
        <v>246</v>
      </c>
      <c r="BN27" s="108" t="s">
        <v>246</v>
      </c>
      <c r="BO27" s="108">
        <v>3</v>
      </c>
      <c r="BP27" s="108">
        <v>3</v>
      </c>
      <c r="BQ27" s="108">
        <v>4</v>
      </c>
      <c r="BR27" s="138"/>
      <c r="BS27" s="111">
        <v>4</v>
      </c>
    </row>
    <row r="28" spans="1:71" x14ac:dyDescent="0.25">
      <c r="A28" s="104">
        <v>26</v>
      </c>
      <c r="B28" s="130">
        <v>5</v>
      </c>
      <c r="C28" s="130">
        <v>5</v>
      </c>
      <c r="D28" s="130">
        <v>5</v>
      </c>
      <c r="E28" s="107">
        <v>6</v>
      </c>
      <c r="F28" s="108">
        <v>5</v>
      </c>
      <c r="G28" s="108">
        <v>5</v>
      </c>
      <c r="H28" s="108">
        <v>5</v>
      </c>
      <c r="I28" s="108">
        <v>9</v>
      </c>
      <c r="J28" s="107">
        <v>5</v>
      </c>
      <c r="K28" s="108">
        <v>9</v>
      </c>
      <c r="L28" s="108">
        <v>5</v>
      </c>
      <c r="M28" s="108">
        <v>5</v>
      </c>
      <c r="N28" s="108">
        <v>7</v>
      </c>
      <c r="O28" s="108">
        <v>9</v>
      </c>
      <c r="P28" s="108">
        <v>7</v>
      </c>
      <c r="Q28" s="108">
        <v>5</v>
      </c>
      <c r="R28" s="108">
        <v>11</v>
      </c>
      <c r="S28" s="108">
        <v>5</v>
      </c>
      <c r="T28" s="108">
        <v>5</v>
      </c>
      <c r="U28" s="108">
        <v>9</v>
      </c>
      <c r="V28" s="138"/>
      <c r="W28" s="111">
        <v>7</v>
      </c>
      <c r="X28" s="100"/>
      <c r="Y28" s="104">
        <v>26</v>
      </c>
      <c r="Z28" s="130">
        <v>5</v>
      </c>
      <c r="AA28" s="130">
        <v>4</v>
      </c>
      <c r="AB28" s="130">
        <v>4</v>
      </c>
      <c r="AC28" s="108">
        <v>6</v>
      </c>
      <c r="AD28" s="108">
        <v>4</v>
      </c>
      <c r="AE28" s="108">
        <v>4</v>
      </c>
      <c r="AF28" s="108">
        <v>4</v>
      </c>
      <c r="AG28" s="108">
        <v>6</v>
      </c>
      <c r="AH28" s="108">
        <v>6</v>
      </c>
      <c r="AI28" s="108">
        <v>6</v>
      </c>
      <c r="AJ28" s="108">
        <v>4</v>
      </c>
      <c r="AK28" s="108">
        <v>5</v>
      </c>
      <c r="AL28" s="108">
        <v>6</v>
      </c>
      <c r="AM28" s="108">
        <v>6</v>
      </c>
      <c r="AN28" s="108">
        <v>5</v>
      </c>
      <c r="AO28" s="108" t="s">
        <v>246</v>
      </c>
      <c r="AP28" s="108" t="s">
        <v>246</v>
      </c>
      <c r="AQ28" s="108">
        <v>4</v>
      </c>
      <c r="AR28" s="108">
        <v>5</v>
      </c>
      <c r="AS28" s="108">
        <v>5</v>
      </c>
      <c r="AT28" s="138"/>
      <c r="AU28" s="111">
        <v>5</v>
      </c>
      <c r="AV28" s="100"/>
      <c r="AW28" s="104">
        <v>26</v>
      </c>
      <c r="AX28" s="132">
        <v>3</v>
      </c>
      <c r="AY28" s="132">
        <v>3</v>
      </c>
      <c r="AZ28" s="132">
        <v>3</v>
      </c>
      <c r="BA28" s="108">
        <v>6</v>
      </c>
      <c r="BB28" s="108">
        <v>3</v>
      </c>
      <c r="BC28" s="108">
        <v>3</v>
      </c>
      <c r="BD28" s="108">
        <v>3</v>
      </c>
      <c r="BE28" s="108">
        <v>4</v>
      </c>
      <c r="BF28" s="108">
        <v>4</v>
      </c>
      <c r="BG28" s="108">
        <v>4</v>
      </c>
      <c r="BH28" s="108">
        <v>4</v>
      </c>
      <c r="BI28" s="108">
        <v>3</v>
      </c>
      <c r="BJ28" s="108">
        <v>4</v>
      </c>
      <c r="BK28" s="108">
        <v>4</v>
      </c>
      <c r="BL28" s="108">
        <v>3</v>
      </c>
      <c r="BM28" s="108" t="s">
        <v>246</v>
      </c>
      <c r="BN28" s="108" t="s">
        <v>246</v>
      </c>
      <c r="BO28" s="108">
        <v>3</v>
      </c>
      <c r="BP28" s="108">
        <v>3</v>
      </c>
      <c r="BQ28" s="108">
        <v>4</v>
      </c>
      <c r="BR28" s="138"/>
      <c r="BS28" s="111">
        <v>4</v>
      </c>
    </row>
    <row r="29" spans="1:71" x14ac:dyDescent="0.25">
      <c r="A29" s="104">
        <v>27</v>
      </c>
      <c r="B29" s="130">
        <v>5</v>
      </c>
      <c r="C29" s="130">
        <v>5</v>
      </c>
      <c r="D29" s="130">
        <v>5</v>
      </c>
      <c r="E29" s="107">
        <v>6</v>
      </c>
      <c r="F29" s="108">
        <v>5</v>
      </c>
      <c r="G29" s="108">
        <v>5</v>
      </c>
      <c r="H29" s="108">
        <v>5</v>
      </c>
      <c r="I29" s="108">
        <v>9</v>
      </c>
      <c r="J29" s="107">
        <v>5</v>
      </c>
      <c r="K29" s="108">
        <v>9</v>
      </c>
      <c r="L29" s="108">
        <v>5</v>
      </c>
      <c r="M29" s="108">
        <v>5</v>
      </c>
      <c r="N29" s="108">
        <v>7</v>
      </c>
      <c r="O29" s="108">
        <v>9</v>
      </c>
      <c r="P29" s="108">
        <v>7</v>
      </c>
      <c r="Q29" s="108">
        <v>5</v>
      </c>
      <c r="R29" s="108">
        <v>11</v>
      </c>
      <c r="S29" s="108">
        <v>5</v>
      </c>
      <c r="T29" s="108">
        <v>55</v>
      </c>
      <c r="U29" s="108">
        <v>9</v>
      </c>
      <c r="V29" s="138">
        <v>5</v>
      </c>
      <c r="W29" s="111">
        <v>7</v>
      </c>
      <c r="X29" s="100"/>
      <c r="Y29" s="104">
        <v>27</v>
      </c>
      <c r="Z29" s="130">
        <v>5</v>
      </c>
      <c r="AA29" s="130">
        <v>4</v>
      </c>
      <c r="AB29" s="130">
        <v>4</v>
      </c>
      <c r="AC29" s="108">
        <v>6</v>
      </c>
      <c r="AD29" s="108">
        <v>4</v>
      </c>
      <c r="AE29" s="108">
        <v>4</v>
      </c>
      <c r="AF29" s="108">
        <v>4</v>
      </c>
      <c r="AG29" s="108">
        <v>6</v>
      </c>
      <c r="AH29" s="108">
        <v>6</v>
      </c>
      <c r="AI29" s="108">
        <v>6</v>
      </c>
      <c r="AJ29" s="108">
        <v>4</v>
      </c>
      <c r="AK29" s="108">
        <v>5</v>
      </c>
      <c r="AL29" s="108">
        <v>6</v>
      </c>
      <c r="AM29" s="108">
        <v>6</v>
      </c>
      <c r="AN29" s="108">
        <v>5</v>
      </c>
      <c r="AO29" s="108" t="s">
        <v>246</v>
      </c>
      <c r="AP29" s="108" t="s">
        <v>246</v>
      </c>
      <c r="AQ29" s="108">
        <v>4</v>
      </c>
      <c r="AR29" s="108">
        <v>5</v>
      </c>
      <c r="AS29" s="108">
        <v>5</v>
      </c>
      <c r="AT29" s="138">
        <v>5</v>
      </c>
      <c r="AU29" s="111">
        <v>5</v>
      </c>
      <c r="AV29" s="100"/>
      <c r="AW29" s="104">
        <v>27</v>
      </c>
      <c r="AX29" s="132">
        <v>3</v>
      </c>
      <c r="AY29" s="132">
        <v>3</v>
      </c>
      <c r="AZ29" s="132">
        <v>3</v>
      </c>
      <c r="BA29" s="108">
        <v>6</v>
      </c>
      <c r="BB29" s="108">
        <v>3</v>
      </c>
      <c r="BC29" s="108">
        <v>3</v>
      </c>
      <c r="BD29" s="108">
        <v>3</v>
      </c>
      <c r="BE29" s="108">
        <v>4</v>
      </c>
      <c r="BF29" s="108">
        <v>4</v>
      </c>
      <c r="BG29" s="108">
        <v>4</v>
      </c>
      <c r="BH29" s="108">
        <v>4</v>
      </c>
      <c r="BI29" s="108">
        <v>3</v>
      </c>
      <c r="BJ29" s="108">
        <v>4</v>
      </c>
      <c r="BK29" s="108">
        <v>4</v>
      </c>
      <c r="BL29" s="108">
        <v>3</v>
      </c>
      <c r="BM29" s="108" t="s">
        <v>246</v>
      </c>
      <c r="BN29" s="108" t="s">
        <v>246</v>
      </c>
      <c r="BO29" s="108">
        <v>3</v>
      </c>
      <c r="BP29" s="108">
        <v>3</v>
      </c>
      <c r="BQ29" s="108">
        <v>4</v>
      </c>
      <c r="BR29" s="138">
        <v>4</v>
      </c>
      <c r="BS29" s="111">
        <v>4</v>
      </c>
    </row>
    <row r="30" spans="1:71" x14ac:dyDescent="0.25">
      <c r="A30" s="104">
        <v>28</v>
      </c>
      <c r="B30" s="130">
        <v>5</v>
      </c>
      <c r="C30" s="130">
        <v>5</v>
      </c>
      <c r="D30" s="130">
        <v>5</v>
      </c>
      <c r="E30" s="107">
        <v>6</v>
      </c>
      <c r="F30" s="108">
        <v>5</v>
      </c>
      <c r="G30" s="108">
        <v>5</v>
      </c>
      <c r="H30" s="108">
        <v>5</v>
      </c>
      <c r="I30" s="108">
        <v>9</v>
      </c>
      <c r="J30" s="107">
        <v>5</v>
      </c>
      <c r="K30" s="108">
        <v>9</v>
      </c>
      <c r="L30" s="108">
        <v>5</v>
      </c>
      <c r="M30" s="108">
        <v>5</v>
      </c>
      <c r="N30" s="108">
        <v>7</v>
      </c>
      <c r="O30" s="108">
        <v>9</v>
      </c>
      <c r="P30" s="108">
        <v>7</v>
      </c>
      <c r="Q30" s="108">
        <v>5</v>
      </c>
      <c r="R30" s="108">
        <v>11</v>
      </c>
      <c r="S30" s="108">
        <v>5</v>
      </c>
      <c r="T30" s="108">
        <v>5</v>
      </c>
      <c r="U30" s="108">
        <v>9</v>
      </c>
      <c r="V30" s="138"/>
      <c r="W30" s="111">
        <v>7</v>
      </c>
      <c r="X30" s="100"/>
      <c r="Y30" s="104">
        <v>28</v>
      </c>
      <c r="Z30" s="130">
        <v>5</v>
      </c>
      <c r="AA30" s="130">
        <v>4</v>
      </c>
      <c r="AB30" s="130">
        <v>4</v>
      </c>
      <c r="AC30" s="108">
        <v>6</v>
      </c>
      <c r="AD30" s="108">
        <v>4</v>
      </c>
      <c r="AE30" s="108">
        <v>4</v>
      </c>
      <c r="AF30" s="108">
        <v>4</v>
      </c>
      <c r="AG30" s="108">
        <v>6</v>
      </c>
      <c r="AH30" s="108">
        <v>6</v>
      </c>
      <c r="AI30" s="108">
        <v>6</v>
      </c>
      <c r="AJ30" s="108">
        <v>4</v>
      </c>
      <c r="AK30" s="108">
        <v>5</v>
      </c>
      <c r="AL30" s="108">
        <v>6</v>
      </c>
      <c r="AM30" s="108">
        <v>6</v>
      </c>
      <c r="AN30" s="108">
        <v>5</v>
      </c>
      <c r="AO30" s="108" t="s">
        <v>246</v>
      </c>
      <c r="AP30" s="108" t="s">
        <v>246</v>
      </c>
      <c r="AQ30" s="108">
        <v>4</v>
      </c>
      <c r="AR30" s="108">
        <v>5</v>
      </c>
      <c r="AS30" s="108">
        <v>5</v>
      </c>
      <c r="AT30" s="138"/>
      <c r="AU30" s="111">
        <v>5</v>
      </c>
      <c r="AV30" s="100"/>
      <c r="AW30" s="104">
        <v>28</v>
      </c>
      <c r="AX30" s="132">
        <v>3</v>
      </c>
      <c r="AY30" s="132">
        <v>3</v>
      </c>
      <c r="AZ30" s="132">
        <v>3</v>
      </c>
      <c r="BA30" s="108">
        <v>6</v>
      </c>
      <c r="BB30" s="108">
        <v>3</v>
      </c>
      <c r="BC30" s="108">
        <v>3</v>
      </c>
      <c r="BD30" s="108">
        <v>3</v>
      </c>
      <c r="BE30" s="108">
        <v>4</v>
      </c>
      <c r="BF30" s="108">
        <v>4</v>
      </c>
      <c r="BG30" s="108">
        <v>4</v>
      </c>
      <c r="BH30" s="108">
        <v>4</v>
      </c>
      <c r="BI30" s="108">
        <v>3</v>
      </c>
      <c r="BJ30" s="108">
        <v>4</v>
      </c>
      <c r="BK30" s="108">
        <v>4</v>
      </c>
      <c r="BL30" s="108">
        <v>3</v>
      </c>
      <c r="BM30" s="108" t="s">
        <v>246</v>
      </c>
      <c r="BN30" s="108" t="s">
        <v>246</v>
      </c>
      <c r="BO30" s="108">
        <v>3</v>
      </c>
      <c r="BP30" s="108">
        <v>3</v>
      </c>
      <c r="BQ30" s="108">
        <v>4</v>
      </c>
      <c r="BR30" s="138"/>
      <c r="BS30" s="111">
        <v>4</v>
      </c>
    </row>
    <row r="31" spans="1:71" x14ac:dyDescent="0.25">
      <c r="A31" s="104">
        <v>29</v>
      </c>
      <c r="B31" s="130">
        <v>5</v>
      </c>
      <c r="C31" s="130">
        <v>5</v>
      </c>
      <c r="D31" s="130">
        <v>5</v>
      </c>
      <c r="E31" s="107">
        <v>6</v>
      </c>
      <c r="F31" s="108">
        <v>5</v>
      </c>
      <c r="G31" s="108">
        <v>5</v>
      </c>
      <c r="H31" s="108">
        <v>5</v>
      </c>
      <c r="I31" s="108">
        <v>9</v>
      </c>
      <c r="J31" s="107">
        <v>5</v>
      </c>
      <c r="K31" s="108">
        <v>9</v>
      </c>
      <c r="L31" s="108">
        <v>5</v>
      </c>
      <c r="M31" s="108">
        <v>5</v>
      </c>
      <c r="N31" s="108">
        <v>7</v>
      </c>
      <c r="O31" s="108">
        <v>9</v>
      </c>
      <c r="P31" s="108">
        <v>7</v>
      </c>
      <c r="Q31" s="108">
        <v>5</v>
      </c>
      <c r="R31" s="108">
        <v>11</v>
      </c>
      <c r="S31" s="108">
        <v>5</v>
      </c>
      <c r="T31" s="108">
        <v>5</v>
      </c>
      <c r="U31" s="108">
        <v>9</v>
      </c>
      <c r="V31" s="138"/>
      <c r="W31" s="111">
        <v>7</v>
      </c>
      <c r="X31" s="100"/>
      <c r="Y31" s="104">
        <v>29</v>
      </c>
      <c r="Z31" s="130">
        <v>5</v>
      </c>
      <c r="AA31" s="130">
        <v>4</v>
      </c>
      <c r="AB31" s="130">
        <v>4</v>
      </c>
      <c r="AC31" s="108">
        <v>6</v>
      </c>
      <c r="AD31" s="108">
        <v>4</v>
      </c>
      <c r="AE31" s="108">
        <v>4</v>
      </c>
      <c r="AF31" s="108">
        <v>4</v>
      </c>
      <c r="AG31" s="108">
        <v>6</v>
      </c>
      <c r="AH31" s="108">
        <v>6</v>
      </c>
      <c r="AI31" s="108">
        <v>6</v>
      </c>
      <c r="AJ31" s="108">
        <v>4</v>
      </c>
      <c r="AK31" s="108">
        <v>5</v>
      </c>
      <c r="AL31" s="108">
        <v>6</v>
      </c>
      <c r="AM31" s="108">
        <v>6</v>
      </c>
      <c r="AN31" s="108">
        <v>5</v>
      </c>
      <c r="AO31" s="108" t="s">
        <v>246</v>
      </c>
      <c r="AP31" s="108" t="s">
        <v>246</v>
      </c>
      <c r="AQ31" s="108">
        <v>4</v>
      </c>
      <c r="AR31" s="108">
        <v>5</v>
      </c>
      <c r="AS31" s="108">
        <v>5</v>
      </c>
      <c r="AT31" s="138"/>
      <c r="AU31" s="111">
        <v>5</v>
      </c>
      <c r="AV31" s="100"/>
      <c r="AW31" s="104">
        <v>29</v>
      </c>
      <c r="AX31" s="132">
        <v>4</v>
      </c>
      <c r="AY31" s="132">
        <v>3</v>
      </c>
      <c r="AZ31" s="132">
        <v>3</v>
      </c>
      <c r="BA31" s="108">
        <v>6</v>
      </c>
      <c r="BB31" s="108">
        <v>3</v>
      </c>
      <c r="BC31" s="108">
        <v>3</v>
      </c>
      <c r="BD31" s="108">
        <v>3</v>
      </c>
      <c r="BE31" s="108">
        <v>4</v>
      </c>
      <c r="BF31" s="108">
        <v>4</v>
      </c>
      <c r="BG31" s="108">
        <v>4</v>
      </c>
      <c r="BH31" s="108">
        <v>4</v>
      </c>
      <c r="BI31" s="108">
        <v>3</v>
      </c>
      <c r="BJ31" s="108">
        <v>4</v>
      </c>
      <c r="BK31" s="108">
        <v>4</v>
      </c>
      <c r="BL31" s="108">
        <v>3</v>
      </c>
      <c r="BM31" s="108" t="s">
        <v>246</v>
      </c>
      <c r="BN31" s="108" t="s">
        <v>246</v>
      </c>
      <c r="BO31" s="108">
        <v>3</v>
      </c>
      <c r="BP31" s="108">
        <v>3</v>
      </c>
      <c r="BQ31" s="108">
        <v>4</v>
      </c>
      <c r="BR31" s="138"/>
      <c r="BS31" s="111">
        <v>4</v>
      </c>
    </row>
    <row r="32" spans="1:71" x14ac:dyDescent="0.25">
      <c r="A32" s="104">
        <v>30</v>
      </c>
      <c r="B32" s="130">
        <v>5</v>
      </c>
      <c r="C32" s="130">
        <v>5</v>
      </c>
      <c r="D32" s="130">
        <v>5</v>
      </c>
      <c r="E32" s="107">
        <v>8</v>
      </c>
      <c r="F32" s="108">
        <v>5</v>
      </c>
      <c r="G32" s="108">
        <v>5</v>
      </c>
      <c r="H32" s="108">
        <v>5</v>
      </c>
      <c r="I32" s="108">
        <v>9</v>
      </c>
      <c r="J32" s="107">
        <v>5</v>
      </c>
      <c r="K32" s="108">
        <v>9</v>
      </c>
      <c r="L32" s="108">
        <v>5</v>
      </c>
      <c r="M32" s="108">
        <v>5</v>
      </c>
      <c r="N32" s="108">
        <v>7</v>
      </c>
      <c r="O32" s="108">
        <v>9</v>
      </c>
      <c r="P32" s="108">
        <v>9</v>
      </c>
      <c r="Q32" s="108">
        <v>7</v>
      </c>
      <c r="R32" s="108">
        <v>13</v>
      </c>
      <c r="S32" s="108">
        <v>5</v>
      </c>
      <c r="T32" s="108">
        <v>5</v>
      </c>
      <c r="U32" s="108">
        <v>9</v>
      </c>
      <c r="V32" s="138">
        <v>5</v>
      </c>
      <c r="W32" s="111">
        <v>7</v>
      </c>
      <c r="X32" s="100"/>
      <c r="Y32" s="104">
        <v>30</v>
      </c>
      <c r="Z32" s="130">
        <v>6</v>
      </c>
      <c r="AA32" s="130">
        <v>5</v>
      </c>
      <c r="AB32" s="130">
        <v>5</v>
      </c>
      <c r="AC32" s="108">
        <v>7</v>
      </c>
      <c r="AD32" s="108">
        <v>5</v>
      </c>
      <c r="AE32" s="108">
        <v>5</v>
      </c>
      <c r="AF32" s="108">
        <v>5</v>
      </c>
      <c r="AG32" s="108">
        <v>6</v>
      </c>
      <c r="AH32" s="108">
        <v>6</v>
      </c>
      <c r="AI32" s="108">
        <v>6</v>
      </c>
      <c r="AJ32" s="108">
        <v>5</v>
      </c>
      <c r="AK32" s="108">
        <v>6</v>
      </c>
      <c r="AL32" s="108">
        <v>6</v>
      </c>
      <c r="AM32" s="108">
        <v>6</v>
      </c>
      <c r="AN32" s="108">
        <v>6</v>
      </c>
      <c r="AO32" s="108" t="s">
        <v>246</v>
      </c>
      <c r="AP32" s="108" t="s">
        <v>246</v>
      </c>
      <c r="AQ32" s="108">
        <v>5</v>
      </c>
      <c r="AR32" s="108">
        <v>5</v>
      </c>
      <c r="AS32" s="108">
        <v>5</v>
      </c>
      <c r="AT32" s="138">
        <v>5</v>
      </c>
      <c r="AU32" s="111">
        <v>5</v>
      </c>
      <c r="AV32" s="100"/>
      <c r="AW32" s="104">
        <v>30</v>
      </c>
      <c r="AX32" s="132">
        <v>4</v>
      </c>
      <c r="AY32" s="132">
        <v>4</v>
      </c>
      <c r="AZ32" s="132">
        <v>4</v>
      </c>
      <c r="BA32" s="108">
        <v>6</v>
      </c>
      <c r="BB32" s="108">
        <v>4</v>
      </c>
      <c r="BC32" s="108">
        <v>4</v>
      </c>
      <c r="BD32" s="108">
        <v>4</v>
      </c>
      <c r="BE32" s="108">
        <v>4</v>
      </c>
      <c r="BF32" s="108">
        <v>4</v>
      </c>
      <c r="BG32" s="108">
        <v>4</v>
      </c>
      <c r="BH32" s="108">
        <v>4</v>
      </c>
      <c r="BI32" s="108">
        <v>4</v>
      </c>
      <c r="BJ32" s="108">
        <v>4</v>
      </c>
      <c r="BK32" s="108">
        <v>4</v>
      </c>
      <c r="BL32" s="108">
        <v>44</v>
      </c>
      <c r="BM32" s="108" t="s">
        <v>246</v>
      </c>
      <c r="BN32" s="108" t="s">
        <v>246</v>
      </c>
      <c r="BO32" s="108">
        <v>4</v>
      </c>
      <c r="BP32" s="108">
        <v>4</v>
      </c>
      <c r="BQ32" s="108">
        <v>4</v>
      </c>
      <c r="BR32" s="138">
        <v>4</v>
      </c>
      <c r="BS32" s="111">
        <v>4</v>
      </c>
    </row>
    <row r="33" spans="1:71" x14ac:dyDescent="0.25">
      <c r="A33" s="104">
        <v>31</v>
      </c>
      <c r="B33" s="130">
        <v>5</v>
      </c>
      <c r="C33" s="130">
        <v>5</v>
      </c>
      <c r="D33" s="130">
        <v>5</v>
      </c>
      <c r="E33" s="107">
        <v>8</v>
      </c>
      <c r="F33" s="108">
        <v>5</v>
      </c>
      <c r="G33" s="108">
        <v>5</v>
      </c>
      <c r="H33" s="108">
        <v>5</v>
      </c>
      <c r="I33" s="108">
        <v>9</v>
      </c>
      <c r="J33" s="107">
        <v>7</v>
      </c>
      <c r="K33" s="108">
        <v>9</v>
      </c>
      <c r="L33" s="108">
        <v>5</v>
      </c>
      <c r="M33" s="108">
        <v>5</v>
      </c>
      <c r="N33" s="108">
        <v>7</v>
      </c>
      <c r="O33" s="108">
        <v>9</v>
      </c>
      <c r="P33" s="108">
        <v>9</v>
      </c>
      <c r="Q33" s="108">
        <v>7</v>
      </c>
      <c r="R33" s="108">
        <v>13</v>
      </c>
      <c r="S33" s="108">
        <v>5</v>
      </c>
      <c r="T33" s="108">
        <v>5</v>
      </c>
      <c r="U33" s="108">
        <v>9</v>
      </c>
      <c r="V33" s="138"/>
      <c r="W33" s="111">
        <v>7</v>
      </c>
      <c r="X33" s="100"/>
      <c r="Y33" s="104">
        <v>31</v>
      </c>
      <c r="Z33" s="130">
        <v>6</v>
      </c>
      <c r="AA33" s="130">
        <v>5</v>
      </c>
      <c r="AB33" s="130">
        <v>5</v>
      </c>
      <c r="AC33" s="108">
        <v>9</v>
      </c>
      <c r="AD33" s="108">
        <v>5</v>
      </c>
      <c r="AE33" s="108">
        <v>5</v>
      </c>
      <c r="AF33" s="108">
        <v>5</v>
      </c>
      <c r="AG33" s="108">
        <v>7</v>
      </c>
      <c r="AH33" s="108">
        <v>7</v>
      </c>
      <c r="AI33" s="108">
        <v>7</v>
      </c>
      <c r="AJ33" s="108">
        <v>5</v>
      </c>
      <c r="AK33" s="108">
        <v>6</v>
      </c>
      <c r="AL33" s="108">
        <v>6</v>
      </c>
      <c r="AM33" s="108">
        <v>7</v>
      </c>
      <c r="AN33" s="108">
        <v>6</v>
      </c>
      <c r="AO33" s="108" t="s">
        <v>246</v>
      </c>
      <c r="AP33" s="108" t="s">
        <v>246</v>
      </c>
      <c r="AQ33" s="108">
        <v>5</v>
      </c>
      <c r="AR33" s="108">
        <v>5</v>
      </c>
      <c r="AS33" s="108">
        <v>5</v>
      </c>
      <c r="AT33" s="138"/>
      <c r="AU33" s="111">
        <v>5</v>
      </c>
      <c r="AV33" s="100"/>
      <c r="AW33" s="104">
        <v>31</v>
      </c>
      <c r="AX33" s="132">
        <v>4</v>
      </c>
      <c r="AY33" s="132">
        <v>4</v>
      </c>
      <c r="AZ33" s="132">
        <v>4</v>
      </c>
      <c r="BA33" s="108">
        <v>7</v>
      </c>
      <c r="BB33" s="108">
        <v>4</v>
      </c>
      <c r="BC33" s="108">
        <v>4</v>
      </c>
      <c r="BD33" s="108">
        <v>4</v>
      </c>
      <c r="BE33" s="108">
        <v>4</v>
      </c>
      <c r="BF33" s="108">
        <v>4</v>
      </c>
      <c r="BG33" s="108">
        <v>4</v>
      </c>
      <c r="BH33" s="108">
        <v>4</v>
      </c>
      <c r="BI33" s="108">
        <v>4</v>
      </c>
      <c r="BJ33" s="108">
        <v>4</v>
      </c>
      <c r="BK33" s="108">
        <v>4</v>
      </c>
      <c r="BL33" s="108">
        <v>4</v>
      </c>
      <c r="BM33" s="108" t="s">
        <v>246</v>
      </c>
      <c r="BN33" s="108" t="s">
        <v>246</v>
      </c>
      <c r="BO33" s="108">
        <v>4</v>
      </c>
      <c r="BP33" s="108">
        <v>4</v>
      </c>
      <c r="BQ33" s="108">
        <v>4</v>
      </c>
      <c r="BR33" s="138"/>
      <c r="BS33" s="111">
        <v>4</v>
      </c>
    </row>
    <row r="34" spans="1:71" x14ac:dyDescent="0.25">
      <c r="A34" s="104">
        <v>32</v>
      </c>
      <c r="B34" s="130">
        <v>7</v>
      </c>
      <c r="C34" s="130">
        <v>5</v>
      </c>
      <c r="D34" s="130">
        <v>7</v>
      </c>
      <c r="E34" s="107">
        <v>8</v>
      </c>
      <c r="F34" s="108">
        <v>7</v>
      </c>
      <c r="G34" s="108">
        <v>7</v>
      </c>
      <c r="H34" s="108">
        <v>7</v>
      </c>
      <c r="I34" s="108">
        <v>9</v>
      </c>
      <c r="J34" s="107">
        <v>7</v>
      </c>
      <c r="K34" s="108">
        <v>9</v>
      </c>
      <c r="L34" s="108">
        <v>5</v>
      </c>
      <c r="M34" s="108">
        <v>7</v>
      </c>
      <c r="N34" s="108">
        <v>9</v>
      </c>
      <c r="O34" s="108">
        <v>9</v>
      </c>
      <c r="P34" s="108">
        <v>9</v>
      </c>
      <c r="Q34" s="108">
        <v>9</v>
      </c>
      <c r="R34" s="108">
        <v>15</v>
      </c>
      <c r="S34" s="108">
        <v>5</v>
      </c>
      <c r="T34" s="108">
        <v>5</v>
      </c>
      <c r="U34" s="108">
        <v>9</v>
      </c>
      <c r="V34" s="138"/>
      <c r="W34" s="111">
        <v>7</v>
      </c>
      <c r="X34" s="100"/>
      <c r="Y34" s="104">
        <v>32</v>
      </c>
      <c r="Z34" s="130">
        <v>7</v>
      </c>
      <c r="AA34" s="130">
        <v>5</v>
      </c>
      <c r="AB34" s="130">
        <v>5</v>
      </c>
      <c r="AC34" s="108">
        <v>9</v>
      </c>
      <c r="AD34" s="108">
        <v>5</v>
      </c>
      <c r="AE34" s="108">
        <v>5</v>
      </c>
      <c r="AF34" s="108">
        <v>5</v>
      </c>
      <c r="AG34" s="108">
        <v>7</v>
      </c>
      <c r="AH34" s="108">
        <v>7</v>
      </c>
      <c r="AI34" s="108">
        <v>7</v>
      </c>
      <c r="AJ34" s="108">
        <v>5</v>
      </c>
      <c r="AK34" s="108">
        <v>7</v>
      </c>
      <c r="AL34" s="108">
        <v>7</v>
      </c>
      <c r="AM34" s="108">
        <v>7</v>
      </c>
      <c r="AN34" s="108">
        <v>7</v>
      </c>
      <c r="AO34" s="108" t="s">
        <v>246</v>
      </c>
      <c r="AP34" s="108" t="s">
        <v>246</v>
      </c>
      <c r="AQ34" s="108">
        <v>5</v>
      </c>
      <c r="AR34" s="108">
        <v>5</v>
      </c>
      <c r="AS34" s="108">
        <v>5</v>
      </c>
      <c r="AT34" s="138"/>
      <c r="AU34" s="111">
        <v>5</v>
      </c>
      <c r="AV34" s="100"/>
      <c r="AW34" s="104">
        <v>32</v>
      </c>
      <c r="AX34" s="132">
        <v>4</v>
      </c>
      <c r="AY34" s="132">
        <v>4</v>
      </c>
      <c r="AZ34" s="132">
        <v>4</v>
      </c>
      <c r="BA34" s="108">
        <v>7</v>
      </c>
      <c r="BB34" s="108">
        <v>4</v>
      </c>
      <c r="BC34" s="108">
        <v>4</v>
      </c>
      <c r="BD34" s="108">
        <v>4</v>
      </c>
      <c r="BE34" s="108">
        <v>4</v>
      </c>
      <c r="BF34" s="108">
        <v>4</v>
      </c>
      <c r="BG34" s="108">
        <v>4</v>
      </c>
      <c r="BH34" s="108">
        <v>4</v>
      </c>
      <c r="BI34" s="108">
        <v>4</v>
      </c>
      <c r="BJ34" s="108">
        <v>4</v>
      </c>
      <c r="BK34" s="108">
        <v>4</v>
      </c>
      <c r="BL34" s="108">
        <v>4</v>
      </c>
      <c r="BM34" s="108" t="s">
        <v>246</v>
      </c>
      <c r="BN34" s="108" t="s">
        <v>246</v>
      </c>
      <c r="BO34" s="108">
        <v>4</v>
      </c>
      <c r="BP34" s="108">
        <v>4</v>
      </c>
      <c r="BQ34" s="108">
        <v>4</v>
      </c>
      <c r="BR34" s="138"/>
      <c r="BS34" s="111">
        <v>4</v>
      </c>
    </row>
    <row r="35" spans="1:71" x14ac:dyDescent="0.25">
      <c r="A35" s="104">
        <v>33</v>
      </c>
      <c r="B35" s="130">
        <v>7</v>
      </c>
      <c r="C35" s="130">
        <v>5</v>
      </c>
      <c r="D35" s="130">
        <v>7</v>
      </c>
      <c r="E35" s="107">
        <v>8</v>
      </c>
      <c r="F35" s="108">
        <v>7</v>
      </c>
      <c r="G35" s="108">
        <v>7</v>
      </c>
      <c r="H35" s="108">
        <v>7</v>
      </c>
      <c r="I35" s="108">
        <v>9</v>
      </c>
      <c r="J35" s="107">
        <v>7</v>
      </c>
      <c r="K35" s="108">
        <v>9</v>
      </c>
      <c r="L35" s="108">
        <v>5</v>
      </c>
      <c r="M35" s="108">
        <v>7</v>
      </c>
      <c r="N35" s="108">
        <v>9</v>
      </c>
      <c r="O35" s="108">
        <v>9</v>
      </c>
      <c r="P35" s="108">
        <v>9</v>
      </c>
      <c r="Q35" s="108">
        <v>9</v>
      </c>
      <c r="R35" s="108">
        <v>15</v>
      </c>
      <c r="S35" s="108">
        <v>5</v>
      </c>
      <c r="T35" s="108">
        <v>5</v>
      </c>
      <c r="U35" s="108">
        <v>9</v>
      </c>
      <c r="V35" s="138"/>
      <c r="W35" s="111">
        <v>7</v>
      </c>
      <c r="X35" s="100"/>
      <c r="Y35" s="104">
        <v>33</v>
      </c>
      <c r="Z35" s="130">
        <v>7</v>
      </c>
      <c r="AA35" s="130">
        <v>5</v>
      </c>
      <c r="AB35" s="130">
        <v>5</v>
      </c>
      <c r="AC35" s="108">
        <v>9</v>
      </c>
      <c r="AD35" s="108">
        <v>5</v>
      </c>
      <c r="AE35" s="108">
        <v>5</v>
      </c>
      <c r="AF35" s="108">
        <v>5</v>
      </c>
      <c r="AG35" s="108">
        <v>7</v>
      </c>
      <c r="AH35" s="108">
        <v>7</v>
      </c>
      <c r="AI35" s="108">
        <v>7</v>
      </c>
      <c r="AJ35" s="108">
        <v>5</v>
      </c>
      <c r="AK35" s="108">
        <v>7</v>
      </c>
      <c r="AL35" s="108">
        <v>7</v>
      </c>
      <c r="AM35" s="108">
        <v>7</v>
      </c>
      <c r="AN35" s="108">
        <v>7</v>
      </c>
      <c r="AO35" s="108" t="s">
        <v>246</v>
      </c>
      <c r="AP35" s="108" t="s">
        <v>246</v>
      </c>
      <c r="AQ35" s="108">
        <v>5</v>
      </c>
      <c r="AR35" s="108">
        <v>5</v>
      </c>
      <c r="AS35" s="108">
        <v>5</v>
      </c>
      <c r="AT35" s="138"/>
      <c r="AU35" s="111">
        <v>5</v>
      </c>
      <c r="AV35" s="100"/>
      <c r="AW35" s="104">
        <v>33</v>
      </c>
      <c r="AX35" s="132">
        <v>4</v>
      </c>
      <c r="AY35" s="132">
        <v>4</v>
      </c>
      <c r="AZ35" s="132">
        <v>4</v>
      </c>
      <c r="BA35" s="108">
        <v>7</v>
      </c>
      <c r="BB35" s="108">
        <v>4</v>
      </c>
      <c r="BC35" s="108">
        <v>4</v>
      </c>
      <c r="BD35" s="108">
        <v>4</v>
      </c>
      <c r="BE35" s="108">
        <v>4</v>
      </c>
      <c r="BF35" s="108">
        <v>4</v>
      </c>
      <c r="BG35" s="108">
        <v>4</v>
      </c>
      <c r="BH35" s="108">
        <v>4</v>
      </c>
      <c r="BI35" s="108">
        <v>4</v>
      </c>
      <c r="BJ35" s="108">
        <v>4</v>
      </c>
      <c r="BK35" s="108">
        <v>4</v>
      </c>
      <c r="BL35" s="108">
        <v>4</v>
      </c>
      <c r="BM35" s="108" t="s">
        <v>246</v>
      </c>
      <c r="BN35" s="108" t="s">
        <v>246</v>
      </c>
      <c r="BO35" s="108">
        <v>4</v>
      </c>
      <c r="BP35" s="108">
        <v>4</v>
      </c>
      <c r="BQ35" s="108">
        <v>4</v>
      </c>
      <c r="BR35" s="138"/>
      <c r="BS35" s="111">
        <v>4</v>
      </c>
    </row>
    <row r="36" spans="1:71" x14ac:dyDescent="0.25">
      <c r="A36" s="104">
        <v>34</v>
      </c>
      <c r="B36" s="130">
        <v>7</v>
      </c>
      <c r="C36" s="130">
        <v>5</v>
      </c>
      <c r="D36" s="130">
        <v>7</v>
      </c>
      <c r="E36" s="107">
        <v>8</v>
      </c>
      <c r="F36" s="108">
        <v>7</v>
      </c>
      <c r="G36" s="108">
        <v>7</v>
      </c>
      <c r="H36" s="108">
        <v>7</v>
      </c>
      <c r="I36" s="108">
        <v>9</v>
      </c>
      <c r="J36" s="107">
        <v>7</v>
      </c>
      <c r="K36" s="108">
        <v>9</v>
      </c>
      <c r="L36" s="108">
        <v>5</v>
      </c>
      <c r="M36" s="108">
        <v>7</v>
      </c>
      <c r="N36" s="108">
        <v>9</v>
      </c>
      <c r="O36" s="108">
        <v>9</v>
      </c>
      <c r="P36" s="108">
        <v>9</v>
      </c>
      <c r="Q36" s="108">
        <v>9</v>
      </c>
      <c r="R36" s="108">
        <v>15</v>
      </c>
      <c r="S36" s="108">
        <v>5</v>
      </c>
      <c r="T36" s="108">
        <v>5</v>
      </c>
      <c r="U36" s="108">
        <v>9</v>
      </c>
      <c r="V36" s="138"/>
      <c r="W36" s="111">
        <v>7</v>
      </c>
      <c r="X36" s="100"/>
      <c r="Y36" s="104">
        <v>34</v>
      </c>
      <c r="Z36" s="130">
        <v>7</v>
      </c>
      <c r="AA36" s="130">
        <v>5</v>
      </c>
      <c r="AB36" s="130">
        <v>5</v>
      </c>
      <c r="AC36" s="108">
        <v>9</v>
      </c>
      <c r="AD36" s="108">
        <v>5</v>
      </c>
      <c r="AE36" s="108">
        <v>5</v>
      </c>
      <c r="AF36" s="108">
        <v>5</v>
      </c>
      <c r="AG36" s="108">
        <v>7</v>
      </c>
      <c r="AH36" s="108">
        <v>7</v>
      </c>
      <c r="AI36" s="108">
        <v>7</v>
      </c>
      <c r="AJ36" s="108">
        <v>5</v>
      </c>
      <c r="AK36" s="108">
        <v>7</v>
      </c>
      <c r="AL36" s="108">
        <v>7</v>
      </c>
      <c r="AM36" s="108">
        <v>7</v>
      </c>
      <c r="AN36" s="108">
        <v>7</v>
      </c>
      <c r="AO36" s="108" t="s">
        <v>246</v>
      </c>
      <c r="AP36" s="108" t="s">
        <v>246</v>
      </c>
      <c r="AQ36" s="108">
        <v>5</v>
      </c>
      <c r="AR36" s="108">
        <v>5</v>
      </c>
      <c r="AS36" s="108">
        <v>5</v>
      </c>
      <c r="AT36" s="138"/>
      <c r="AU36" s="111">
        <v>5</v>
      </c>
      <c r="AV36" s="100"/>
      <c r="AW36" s="104">
        <v>34</v>
      </c>
      <c r="AX36" s="132">
        <v>4</v>
      </c>
      <c r="AY36" s="132">
        <v>4</v>
      </c>
      <c r="AZ36" s="132">
        <v>4</v>
      </c>
      <c r="BA36" s="108">
        <v>7</v>
      </c>
      <c r="BB36" s="108">
        <v>4</v>
      </c>
      <c r="BC36" s="108">
        <v>4</v>
      </c>
      <c r="BD36" s="108">
        <v>4</v>
      </c>
      <c r="BE36" s="108">
        <v>4</v>
      </c>
      <c r="BF36" s="108">
        <v>4</v>
      </c>
      <c r="BG36" s="108">
        <v>4</v>
      </c>
      <c r="BH36" s="108">
        <v>4</v>
      </c>
      <c r="BI36" s="108">
        <v>4</v>
      </c>
      <c r="BJ36" s="108">
        <v>4</v>
      </c>
      <c r="BK36" s="108">
        <v>4</v>
      </c>
      <c r="BL36" s="108">
        <v>4</v>
      </c>
      <c r="BM36" s="108" t="s">
        <v>246</v>
      </c>
      <c r="BN36" s="108" t="s">
        <v>246</v>
      </c>
      <c r="BO36" s="108">
        <v>4</v>
      </c>
      <c r="BP36" s="108">
        <v>4</v>
      </c>
      <c r="BQ36" s="108">
        <v>4</v>
      </c>
      <c r="BR36" s="138"/>
      <c r="BS36" s="111">
        <v>4</v>
      </c>
    </row>
    <row r="37" spans="1:71" x14ac:dyDescent="0.25">
      <c r="A37" s="104">
        <v>35</v>
      </c>
      <c r="B37" s="130">
        <v>7</v>
      </c>
      <c r="C37" s="130">
        <v>5</v>
      </c>
      <c r="D37" s="130">
        <v>7</v>
      </c>
      <c r="E37" s="107">
        <v>8</v>
      </c>
      <c r="F37" s="108">
        <v>7</v>
      </c>
      <c r="G37" s="108">
        <v>7</v>
      </c>
      <c r="H37" s="108">
        <v>7</v>
      </c>
      <c r="I37" s="108">
        <v>9</v>
      </c>
      <c r="J37" s="107">
        <v>7</v>
      </c>
      <c r="K37" s="108">
        <v>9</v>
      </c>
      <c r="L37" s="108">
        <v>5</v>
      </c>
      <c r="M37" s="108">
        <v>7</v>
      </c>
      <c r="N37" s="108">
        <v>9</v>
      </c>
      <c r="O37" s="108">
        <v>9</v>
      </c>
      <c r="P37" s="108">
        <v>9</v>
      </c>
      <c r="Q37" s="108">
        <v>9</v>
      </c>
      <c r="R37" s="108">
        <v>15</v>
      </c>
      <c r="S37" s="108">
        <v>5</v>
      </c>
      <c r="T37" s="108">
        <v>5</v>
      </c>
      <c r="U37" s="108">
        <v>9</v>
      </c>
      <c r="V37" s="138"/>
      <c r="W37" s="111">
        <v>7</v>
      </c>
      <c r="X37" s="100"/>
      <c r="Y37" s="104">
        <v>35</v>
      </c>
      <c r="Z37" s="130">
        <v>7</v>
      </c>
      <c r="AA37" s="130">
        <v>5</v>
      </c>
      <c r="AB37" s="130">
        <v>5</v>
      </c>
      <c r="AC37" s="108">
        <v>9</v>
      </c>
      <c r="AD37" s="108">
        <v>5</v>
      </c>
      <c r="AE37" s="108">
        <v>5</v>
      </c>
      <c r="AF37" s="108">
        <v>5</v>
      </c>
      <c r="AG37" s="108">
        <v>7</v>
      </c>
      <c r="AH37" s="108">
        <v>7</v>
      </c>
      <c r="AI37" s="108">
        <v>7</v>
      </c>
      <c r="AJ37" s="108">
        <v>5</v>
      </c>
      <c r="AK37" s="108">
        <v>7</v>
      </c>
      <c r="AL37" s="108">
        <v>7</v>
      </c>
      <c r="AM37" s="108">
        <v>7</v>
      </c>
      <c r="AN37" s="108">
        <v>7</v>
      </c>
      <c r="AO37" s="108" t="s">
        <v>246</v>
      </c>
      <c r="AP37" s="108" t="s">
        <v>246</v>
      </c>
      <c r="AQ37" s="108">
        <v>5</v>
      </c>
      <c r="AR37" s="108">
        <v>5</v>
      </c>
      <c r="AS37" s="108">
        <v>5</v>
      </c>
      <c r="AT37" s="138"/>
      <c r="AU37" s="111">
        <v>5</v>
      </c>
      <c r="AV37" s="100"/>
      <c r="AW37" s="104">
        <v>35</v>
      </c>
      <c r="AX37" s="132">
        <v>4</v>
      </c>
      <c r="AY37" s="132">
        <v>4</v>
      </c>
      <c r="AZ37" s="132">
        <v>4</v>
      </c>
      <c r="BA37" s="108">
        <v>7</v>
      </c>
      <c r="BB37" s="108">
        <v>4</v>
      </c>
      <c r="BC37" s="108">
        <v>4</v>
      </c>
      <c r="BD37" s="108">
        <v>4</v>
      </c>
      <c r="BE37" s="108">
        <v>4</v>
      </c>
      <c r="BF37" s="108">
        <v>4</v>
      </c>
      <c r="BG37" s="108">
        <v>4</v>
      </c>
      <c r="BH37" s="108">
        <v>4</v>
      </c>
      <c r="BI37" s="108">
        <v>4</v>
      </c>
      <c r="BJ37" s="108">
        <v>4</v>
      </c>
      <c r="BK37" s="108">
        <v>4</v>
      </c>
      <c r="BL37" s="108">
        <v>4</v>
      </c>
      <c r="BM37" s="108" t="s">
        <v>246</v>
      </c>
      <c r="BN37" s="108" t="s">
        <v>246</v>
      </c>
      <c r="BO37" s="108">
        <v>4</v>
      </c>
      <c r="BP37" s="108">
        <v>4</v>
      </c>
      <c r="BQ37" s="108">
        <v>4</v>
      </c>
      <c r="BR37" s="138"/>
      <c r="BS37" s="111">
        <v>4</v>
      </c>
    </row>
    <row r="38" spans="1:71" x14ac:dyDescent="0.25">
      <c r="A38" s="104">
        <v>36</v>
      </c>
      <c r="B38" s="130">
        <v>7</v>
      </c>
      <c r="C38" s="130">
        <v>5</v>
      </c>
      <c r="D38" s="130">
        <v>7</v>
      </c>
      <c r="E38" s="107">
        <v>9</v>
      </c>
      <c r="F38" s="108">
        <v>7</v>
      </c>
      <c r="G38" s="108">
        <v>7</v>
      </c>
      <c r="H38" s="108">
        <v>7</v>
      </c>
      <c r="I38" s="108">
        <v>9</v>
      </c>
      <c r="J38" s="107">
        <v>7</v>
      </c>
      <c r="K38" s="108">
        <v>9</v>
      </c>
      <c r="L38" s="108">
        <v>7</v>
      </c>
      <c r="M38" s="108">
        <v>7</v>
      </c>
      <c r="N38" s="108">
        <v>9</v>
      </c>
      <c r="O38" s="108">
        <v>9</v>
      </c>
      <c r="P38" s="108">
        <v>9</v>
      </c>
      <c r="Q38" s="108">
        <v>11</v>
      </c>
      <c r="R38" s="108">
        <v>17</v>
      </c>
      <c r="S38" s="108">
        <v>7</v>
      </c>
      <c r="T38" s="108">
        <v>77</v>
      </c>
      <c r="U38" s="108">
        <v>9</v>
      </c>
      <c r="V38" s="138"/>
      <c r="W38" s="111">
        <v>7</v>
      </c>
      <c r="X38" s="100"/>
      <c r="Y38" s="104">
        <v>36</v>
      </c>
      <c r="Z38" s="130">
        <v>7</v>
      </c>
      <c r="AA38" s="130">
        <v>5</v>
      </c>
      <c r="AB38" s="130">
        <v>5</v>
      </c>
      <c r="AC38" s="108">
        <v>9</v>
      </c>
      <c r="AD38" s="108">
        <v>5</v>
      </c>
      <c r="AE38" s="108">
        <v>5</v>
      </c>
      <c r="AF38" s="108">
        <v>5</v>
      </c>
      <c r="AG38" s="108">
        <v>7</v>
      </c>
      <c r="AH38" s="108">
        <v>7</v>
      </c>
      <c r="AI38" s="108">
        <v>7</v>
      </c>
      <c r="AJ38" s="108">
        <v>5</v>
      </c>
      <c r="AK38" s="108">
        <v>7</v>
      </c>
      <c r="AL38" s="108">
        <v>7</v>
      </c>
      <c r="AM38" s="108">
        <v>7</v>
      </c>
      <c r="AN38" s="108">
        <v>7</v>
      </c>
      <c r="AO38" s="108" t="s">
        <v>246</v>
      </c>
      <c r="AP38" s="108" t="s">
        <v>246</v>
      </c>
      <c r="AQ38" s="108">
        <v>5</v>
      </c>
      <c r="AR38" s="108">
        <v>5</v>
      </c>
      <c r="AS38" s="108">
        <v>5</v>
      </c>
      <c r="AT38" s="138"/>
      <c r="AU38" s="111">
        <v>5</v>
      </c>
      <c r="AV38" s="100"/>
      <c r="AW38" s="104">
        <v>36</v>
      </c>
      <c r="AX38" s="132">
        <v>4</v>
      </c>
      <c r="AY38" s="132">
        <v>4</v>
      </c>
      <c r="AZ38" s="132">
        <v>4</v>
      </c>
      <c r="BA38" s="108">
        <v>7</v>
      </c>
      <c r="BB38" s="108">
        <v>4</v>
      </c>
      <c r="BC38" s="108">
        <v>4</v>
      </c>
      <c r="BD38" s="108">
        <v>4</v>
      </c>
      <c r="BE38" s="108">
        <v>4</v>
      </c>
      <c r="BF38" s="108">
        <v>4</v>
      </c>
      <c r="BG38" s="108">
        <v>4</v>
      </c>
      <c r="BH38" s="108">
        <v>5</v>
      </c>
      <c r="BI38" s="108">
        <v>4</v>
      </c>
      <c r="BJ38" s="108">
        <v>4</v>
      </c>
      <c r="BK38" s="108">
        <v>4</v>
      </c>
      <c r="BL38" s="108">
        <v>4</v>
      </c>
      <c r="BM38" s="108" t="s">
        <v>246</v>
      </c>
      <c r="BN38" s="108" t="s">
        <v>246</v>
      </c>
      <c r="BO38" s="108">
        <v>4</v>
      </c>
      <c r="BP38" s="108">
        <v>4</v>
      </c>
      <c r="BQ38" s="108">
        <v>4</v>
      </c>
      <c r="BR38" s="138"/>
      <c r="BS38" s="111">
        <v>4</v>
      </c>
    </row>
    <row r="39" spans="1:71" x14ac:dyDescent="0.25">
      <c r="A39" s="104">
        <v>37</v>
      </c>
      <c r="B39" s="130">
        <v>7</v>
      </c>
      <c r="C39" s="130">
        <v>5</v>
      </c>
      <c r="D39" s="130">
        <v>7</v>
      </c>
      <c r="E39" s="107"/>
      <c r="F39" s="108">
        <v>7</v>
      </c>
      <c r="G39" s="108">
        <v>7</v>
      </c>
      <c r="H39" s="108">
        <v>7</v>
      </c>
      <c r="I39" s="108">
        <v>11</v>
      </c>
      <c r="J39" s="107">
        <v>7</v>
      </c>
      <c r="K39" s="108">
        <v>11</v>
      </c>
      <c r="L39" s="108">
        <v>7</v>
      </c>
      <c r="M39" s="108">
        <v>7</v>
      </c>
      <c r="N39" s="108">
        <v>9</v>
      </c>
      <c r="O39" s="108">
        <v>11</v>
      </c>
      <c r="P39" s="108">
        <v>9</v>
      </c>
      <c r="Q39" s="108">
        <v>11</v>
      </c>
      <c r="R39" s="108">
        <v>17</v>
      </c>
      <c r="S39" s="108">
        <v>7</v>
      </c>
      <c r="T39" s="108">
        <v>7</v>
      </c>
      <c r="U39" s="108">
        <v>11</v>
      </c>
      <c r="V39" s="138"/>
      <c r="W39" s="111">
        <v>9</v>
      </c>
      <c r="X39" s="100"/>
      <c r="Y39" s="104">
        <v>37</v>
      </c>
      <c r="Z39" s="130">
        <v>7</v>
      </c>
      <c r="AA39" s="130">
        <v>5</v>
      </c>
      <c r="AB39" s="130">
        <v>5</v>
      </c>
      <c r="AC39" s="108"/>
      <c r="AD39" s="108">
        <v>5</v>
      </c>
      <c r="AE39" s="108">
        <v>5</v>
      </c>
      <c r="AF39" s="108">
        <v>5</v>
      </c>
      <c r="AG39" s="108">
        <v>8</v>
      </c>
      <c r="AH39" s="108">
        <v>8</v>
      </c>
      <c r="AI39" s="108">
        <v>8</v>
      </c>
      <c r="AJ39" s="108">
        <v>5</v>
      </c>
      <c r="AK39" s="108">
        <v>7</v>
      </c>
      <c r="AL39" s="108">
        <v>7</v>
      </c>
      <c r="AM39" s="108">
        <v>8</v>
      </c>
      <c r="AN39" s="108">
        <v>7</v>
      </c>
      <c r="AO39" s="108" t="s">
        <v>246</v>
      </c>
      <c r="AP39" s="108" t="s">
        <v>246</v>
      </c>
      <c r="AQ39" s="108">
        <v>5</v>
      </c>
      <c r="AR39" s="108">
        <v>5</v>
      </c>
      <c r="AS39" s="108">
        <v>6</v>
      </c>
      <c r="AT39" s="138"/>
      <c r="AU39" s="111">
        <v>6</v>
      </c>
      <c r="AV39" s="100"/>
      <c r="AW39" s="104">
        <v>37</v>
      </c>
      <c r="AX39" s="132">
        <v>4</v>
      </c>
      <c r="AY39" s="132">
        <v>4</v>
      </c>
      <c r="AZ39" s="132">
        <v>4</v>
      </c>
      <c r="BA39" s="108"/>
      <c r="BB39" s="108">
        <v>4</v>
      </c>
      <c r="BC39" s="108">
        <v>4</v>
      </c>
      <c r="BD39" s="108">
        <v>4</v>
      </c>
      <c r="BE39" s="108">
        <v>5</v>
      </c>
      <c r="BF39" s="108">
        <v>5</v>
      </c>
      <c r="BG39" s="108">
        <v>5</v>
      </c>
      <c r="BH39" s="108">
        <v>5</v>
      </c>
      <c r="BI39" s="108">
        <v>4</v>
      </c>
      <c r="BJ39" s="108">
        <v>4</v>
      </c>
      <c r="BK39" s="108">
        <v>5</v>
      </c>
      <c r="BL39" s="108">
        <v>4</v>
      </c>
      <c r="BM39" s="108" t="s">
        <v>246</v>
      </c>
      <c r="BN39" s="108" t="s">
        <v>246</v>
      </c>
      <c r="BO39" s="108">
        <v>4</v>
      </c>
      <c r="BP39" s="108">
        <v>4</v>
      </c>
      <c r="BQ39" s="108">
        <v>5</v>
      </c>
      <c r="BR39" s="138"/>
      <c r="BS39" s="111">
        <v>5</v>
      </c>
    </row>
    <row r="40" spans="1:71" x14ac:dyDescent="0.25">
      <c r="A40" s="104">
        <v>38</v>
      </c>
      <c r="B40" s="130">
        <v>7</v>
      </c>
      <c r="C40" s="130">
        <v>5</v>
      </c>
      <c r="D40" s="130">
        <v>7</v>
      </c>
      <c r="E40" s="107"/>
      <c r="F40" s="108">
        <v>7</v>
      </c>
      <c r="G40" s="108">
        <v>7</v>
      </c>
      <c r="H40" s="108">
        <v>7</v>
      </c>
      <c r="I40" s="108">
        <v>11</v>
      </c>
      <c r="J40" s="107">
        <v>7</v>
      </c>
      <c r="K40" s="108">
        <v>11</v>
      </c>
      <c r="L40" s="108">
        <v>7</v>
      </c>
      <c r="M40" s="108">
        <v>7</v>
      </c>
      <c r="N40" s="108">
        <v>9</v>
      </c>
      <c r="O40" s="108">
        <v>11</v>
      </c>
      <c r="P40" s="108">
        <v>9</v>
      </c>
      <c r="Q40" s="108">
        <v>11</v>
      </c>
      <c r="R40" s="108">
        <v>17</v>
      </c>
      <c r="S40" s="108">
        <v>7</v>
      </c>
      <c r="T40" s="108">
        <v>7</v>
      </c>
      <c r="U40" s="108">
        <v>11</v>
      </c>
      <c r="V40" s="138"/>
      <c r="W40" s="111">
        <v>9</v>
      </c>
      <c r="X40" s="100"/>
      <c r="Y40" s="104">
        <v>38</v>
      </c>
      <c r="Z40" s="130">
        <v>7</v>
      </c>
      <c r="AA40" s="130">
        <v>5</v>
      </c>
      <c r="AB40" s="130">
        <v>5</v>
      </c>
      <c r="AC40" s="108"/>
      <c r="AD40" s="108">
        <v>5</v>
      </c>
      <c r="AE40" s="108">
        <v>5</v>
      </c>
      <c r="AF40" s="108">
        <v>5</v>
      </c>
      <c r="AG40" s="108">
        <v>8</v>
      </c>
      <c r="AH40" s="108">
        <v>8</v>
      </c>
      <c r="AI40" s="108">
        <v>8</v>
      </c>
      <c r="AJ40" s="108">
        <v>5</v>
      </c>
      <c r="AK40" s="108">
        <v>7</v>
      </c>
      <c r="AL40" s="108">
        <v>8</v>
      </c>
      <c r="AM40" s="108">
        <v>8</v>
      </c>
      <c r="AN40" s="108">
        <v>7</v>
      </c>
      <c r="AO40" s="108" t="s">
        <v>246</v>
      </c>
      <c r="AP40" s="108" t="s">
        <v>246</v>
      </c>
      <c r="AQ40" s="108">
        <v>5</v>
      </c>
      <c r="AR40" s="108">
        <v>5</v>
      </c>
      <c r="AS40" s="108">
        <v>6</v>
      </c>
      <c r="AT40" s="138"/>
      <c r="AU40" s="111">
        <v>6</v>
      </c>
      <c r="AV40" s="100"/>
      <c r="AW40" s="104">
        <v>38</v>
      </c>
      <c r="AX40" s="132">
        <v>4</v>
      </c>
      <c r="AY40" s="132">
        <v>4</v>
      </c>
      <c r="AZ40" s="132">
        <v>4</v>
      </c>
      <c r="BA40" s="108"/>
      <c r="BB40" s="108">
        <v>4</v>
      </c>
      <c r="BC40" s="108">
        <v>4</v>
      </c>
      <c r="BD40" s="108">
        <v>4</v>
      </c>
      <c r="BE40" s="108">
        <v>5</v>
      </c>
      <c r="BF40" s="108">
        <v>5</v>
      </c>
      <c r="BG40" s="108">
        <v>5</v>
      </c>
      <c r="BH40" s="108">
        <v>5</v>
      </c>
      <c r="BI40" s="108">
        <v>4</v>
      </c>
      <c r="BJ40" s="108">
        <v>5</v>
      </c>
      <c r="BK40" s="108">
        <v>5</v>
      </c>
      <c r="BL40" s="108">
        <v>4</v>
      </c>
      <c r="BM40" s="108" t="s">
        <v>246</v>
      </c>
      <c r="BN40" s="108" t="s">
        <v>246</v>
      </c>
      <c r="BO40" s="108">
        <v>4</v>
      </c>
      <c r="BP40" s="108">
        <v>4</v>
      </c>
      <c r="BQ40" s="108">
        <v>5</v>
      </c>
      <c r="BR40" s="138"/>
      <c r="BS40" s="111">
        <v>5</v>
      </c>
    </row>
    <row r="41" spans="1:71" x14ac:dyDescent="0.25">
      <c r="A41" s="104">
        <v>39</v>
      </c>
      <c r="B41" s="130">
        <v>7</v>
      </c>
      <c r="C41" s="130">
        <v>5</v>
      </c>
      <c r="D41" s="130">
        <v>7</v>
      </c>
      <c r="E41" s="107"/>
      <c r="F41" s="108">
        <v>7</v>
      </c>
      <c r="G41" s="108">
        <v>7</v>
      </c>
      <c r="H41" s="108">
        <v>7</v>
      </c>
      <c r="I41" s="108">
        <v>11</v>
      </c>
      <c r="J41" s="107">
        <v>7</v>
      </c>
      <c r="K41" s="108">
        <v>11</v>
      </c>
      <c r="L41" s="108">
        <v>7</v>
      </c>
      <c r="M41" s="108">
        <v>7</v>
      </c>
      <c r="N41" s="108">
        <v>9</v>
      </c>
      <c r="O41" s="108">
        <v>11</v>
      </c>
      <c r="P41" s="108">
        <v>9</v>
      </c>
      <c r="Q41" s="108">
        <v>11</v>
      </c>
      <c r="R41" s="108">
        <v>17</v>
      </c>
      <c r="S41" s="108">
        <v>7</v>
      </c>
      <c r="T41" s="108">
        <v>7</v>
      </c>
      <c r="U41" s="108">
        <v>11</v>
      </c>
      <c r="V41" s="138"/>
      <c r="W41" s="111">
        <v>9</v>
      </c>
      <c r="X41" s="100"/>
      <c r="Y41" s="104">
        <v>39</v>
      </c>
      <c r="Z41" s="130">
        <v>7</v>
      </c>
      <c r="AA41" s="130">
        <v>5</v>
      </c>
      <c r="AB41" s="130">
        <v>5</v>
      </c>
      <c r="AC41" s="108"/>
      <c r="AD41" s="108">
        <v>5</v>
      </c>
      <c r="AE41" s="108">
        <v>5</v>
      </c>
      <c r="AF41" s="108">
        <v>5</v>
      </c>
      <c r="AG41" s="108">
        <v>8</v>
      </c>
      <c r="AH41" s="108">
        <v>8</v>
      </c>
      <c r="AI41" s="108">
        <v>8</v>
      </c>
      <c r="AJ41" s="108">
        <v>5</v>
      </c>
      <c r="AK41" s="108">
        <v>7</v>
      </c>
      <c r="AL41" s="108">
        <v>8</v>
      </c>
      <c r="AM41" s="108">
        <v>8</v>
      </c>
      <c r="AN41" s="108">
        <v>7</v>
      </c>
      <c r="AO41" s="108" t="s">
        <v>246</v>
      </c>
      <c r="AP41" s="108" t="s">
        <v>246</v>
      </c>
      <c r="AQ41" s="108">
        <v>5</v>
      </c>
      <c r="AR41" s="108">
        <v>5</v>
      </c>
      <c r="AS41" s="108">
        <v>6</v>
      </c>
      <c r="AT41" s="138"/>
      <c r="AU41" s="111">
        <v>6</v>
      </c>
      <c r="AV41" s="100"/>
      <c r="AW41" s="104">
        <v>39</v>
      </c>
      <c r="AX41" s="132">
        <v>4</v>
      </c>
      <c r="AY41" s="132">
        <v>4</v>
      </c>
      <c r="AZ41" s="132">
        <v>4</v>
      </c>
      <c r="BA41" s="108"/>
      <c r="BB41" s="108">
        <v>4</v>
      </c>
      <c r="BC41" s="108">
        <v>4</v>
      </c>
      <c r="BD41" s="108">
        <v>4</v>
      </c>
      <c r="BE41" s="108">
        <v>5</v>
      </c>
      <c r="BF41" s="108">
        <v>5</v>
      </c>
      <c r="BG41" s="108">
        <v>5</v>
      </c>
      <c r="BH41" s="108">
        <v>5</v>
      </c>
      <c r="BI41" s="108">
        <v>4</v>
      </c>
      <c r="BJ41" s="108">
        <v>5</v>
      </c>
      <c r="BK41" s="108">
        <v>5</v>
      </c>
      <c r="BL41" s="108">
        <v>4</v>
      </c>
      <c r="BM41" s="108" t="s">
        <v>246</v>
      </c>
      <c r="BN41" s="108" t="s">
        <v>246</v>
      </c>
      <c r="BO41" s="108">
        <v>4</v>
      </c>
      <c r="BP41" s="108">
        <v>4</v>
      </c>
      <c r="BQ41" s="108">
        <v>5</v>
      </c>
      <c r="BR41" s="138"/>
      <c r="BS41" s="111">
        <v>5</v>
      </c>
    </row>
    <row r="42" spans="1:71" x14ac:dyDescent="0.25">
      <c r="A42" s="104">
        <v>40</v>
      </c>
      <c r="B42" s="130">
        <v>7</v>
      </c>
      <c r="C42" s="130">
        <v>5</v>
      </c>
      <c r="D42" s="130">
        <v>7</v>
      </c>
      <c r="E42" s="107"/>
      <c r="F42" s="108">
        <v>7</v>
      </c>
      <c r="G42" s="108">
        <v>7</v>
      </c>
      <c r="H42" s="108">
        <v>7</v>
      </c>
      <c r="I42" s="108">
        <v>11</v>
      </c>
      <c r="J42" s="107">
        <v>7</v>
      </c>
      <c r="K42" s="108">
        <v>11</v>
      </c>
      <c r="L42" s="108">
        <v>7</v>
      </c>
      <c r="M42" s="108">
        <v>7</v>
      </c>
      <c r="N42" s="108">
        <v>11</v>
      </c>
      <c r="O42" s="108">
        <v>11</v>
      </c>
      <c r="P42" s="108">
        <v>9</v>
      </c>
      <c r="Q42" s="108">
        <v>11</v>
      </c>
      <c r="R42" s="108">
        <v>17</v>
      </c>
      <c r="S42" s="108">
        <v>7</v>
      </c>
      <c r="T42" s="108">
        <v>7</v>
      </c>
      <c r="U42" s="108">
        <v>11</v>
      </c>
      <c r="V42" s="138"/>
      <c r="W42" s="111">
        <v>9</v>
      </c>
      <c r="X42" s="100"/>
      <c r="Y42" s="104">
        <v>40</v>
      </c>
      <c r="Z42" s="130">
        <v>7</v>
      </c>
      <c r="AA42" s="130">
        <v>5</v>
      </c>
      <c r="AB42" s="130">
        <v>5</v>
      </c>
      <c r="AC42" s="108"/>
      <c r="AD42" s="108">
        <v>5</v>
      </c>
      <c r="AE42" s="108">
        <v>5</v>
      </c>
      <c r="AF42" s="108">
        <v>5</v>
      </c>
      <c r="AG42" s="108">
        <v>8</v>
      </c>
      <c r="AH42" s="108">
        <v>8</v>
      </c>
      <c r="AI42" s="108">
        <v>8</v>
      </c>
      <c r="AJ42" s="108">
        <v>5</v>
      </c>
      <c r="AK42" s="108">
        <v>7</v>
      </c>
      <c r="AL42" s="108">
        <v>8</v>
      </c>
      <c r="AM42" s="108">
        <v>8</v>
      </c>
      <c r="AN42" s="108">
        <v>7</v>
      </c>
      <c r="AO42" s="108" t="s">
        <v>246</v>
      </c>
      <c r="AP42" s="108" t="s">
        <v>246</v>
      </c>
      <c r="AQ42" s="108">
        <v>5</v>
      </c>
      <c r="AR42" s="108">
        <v>5</v>
      </c>
      <c r="AS42" s="108">
        <v>6</v>
      </c>
      <c r="AT42" s="138"/>
      <c r="AU42" s="111">
        <v>6</v>
      </c>
      <c r="AV42" s="100"/>
      <c r="AW42" s="104">
        <v>40</v>
      </c>
      <c r="AX42" s="132">
        <v>4</v>
      </c>
      <c r="AY42" s="132">
        <v>4</v>
      </c>
      <c r="AZ42" s="132">
        <v>4</v>
      </c>
      <c r="BA42" s="108"/>
      <c r="BB42" s="108">
        <v>4</v>
      </c>
      <c r="BC42" s="108">
        <v>4</v>
      </c>
      <c r="BD42" s="108">
        <v>4</v>
      </c>
      <c r="BE42" s="108">
        <v>5</v>
      </c>
      <c r="BF42" s="108">
        <v>5</v>
      </c>
      <c r="BG42" s="108">
        <v>5</v>
      </c>
      <c r="BH42" s="108">
        <v>5</v>
      </c>
      <c r="BI42" s="108">
        <v>4</v>
      </c>
      <c r="BJ42" s="108">
        <v>5</v>
      </c>
      <c r="BK42" s="108">
        <v>5</v>
      </c>
      <c r="BL42" s="108">
        <v>4</v>
      </c>
      <c r="BM42" s="108" t="s">
        <v>246</v>
      </c>
      <c r="BN42" s="108" t="s">
        <v>246</v>
      </c>
      <c r="BO42" s="108">
        <v>4</v>
      </c>
      <c r="BP42" s="108">
        <v>4</v>
      </c>
      <c r="BQ42" s="108">
        <v>5</v>
      </c>
      <c r="BR42" s="138"/>
      <c r="BS42" s="111">
        <v>5</v>
      </c>
    </row>
    <row r="43" spans="1:71" x14ac:dyDescent="0.25">
      <c r="A43" s="104">
        <v>41</v>
      </c>
      <c r="B43" s="130">
        <v>7</v>
      </c>
      <c r="C43" s="130">
        <v>5</v>
      </c>
      <c r="D43" s="130">
        <v>7</v>
      </c>
      <c r="E43" s="107"/>
      <c r="F43" s="108">
        <v>7</v>
      </c>
      <c r="G43" s="108">
        <v>7</v>
      </c>
      <c r="H43" s="108">
        <v>7</v>
      </c>
      <c r="I43" s="108">
        <v>11</v>
      </c>
      <c r="J43" s="107">
        <v>7</v>
      </c>
      <c r="K43" s="108">
        <v>11</v>
      </c>
      <c r="L43" s="108">
        <v>7</v>
      </c>
      <c r="M43" s="108">
        <v>7</v>
      </c>
      <c r="N43" s="108">
        <v>11</v>
      </c>
      <c r="O43" s="108">
        <v>11</v>
      </c>
      <c r="P43" s="108">
        <v>9</v>
      </c>
      <c r="Q43" s="108">
        <v>11</v>
      </c>
      <c r="R43" s="108">
        <v>17</v>
      </c>
      <c r="S43" s="108">
        <v>7</v>
      </c>
      <c r="T43" s="108">
        <v>7</v>
      </c>
      <c r="U43" s="108">
        <v>11</v>
      </c>
      <c r="V43" s="138"/>
      <c r="W43" s="111">
        <v>9</v>
      </c>
      <c r="X43" s="100"/>
      <c r="Y43" s="104">
        <v>41</v>
      </c>
      <c r="Z43" s="130">
        <v>7</v>
      </c>
      <c r="AA43" s="130">
        <v>5</v>
      </c>
      <c r="AB43" s="130">
        <v>5</v>
      </c>
      <c r="AC43" s="108"/>
      <c r="AD43" s="108">
        <v>5</v>
      </c>
      <c r="AE43" s="108">
        <v>5</v>
      </c>
      <c r="AF43" s="108">
        <v>5</v>
      </c>
      <c r="AG43" s="108">
        <v>8</v>
      </c>
      <c r="AH43" s="108">
        <v>8</v>
      </c>
      <c r="AI43" s="108">
        <v>8</v>
      </c>
      <c r="AJ43" s="108">
        <v>5</v>
      </c>
      <c r="AK43" s="108">
        <v>7</v>
      </c>
      <c r="AL43" s="108">
        <v>8</v>
      </c>
      <c r="AM43" s="108">
        <v>8</v>
      </c>
      <c r="AN43" s="108">
        <v>7</v>
      </c>
      <c r="AO43" s="108" t="s">
        <v>246</v>
      </c>
      <c r="AP43" s="108" t="s">
        <v>246</v>
      </c>
      <c r="AQ43" s="108">
        <v>5</v>
      </c>
      <c r="AR43" s="108">
        <v>5</v>
      </c>
      <c r="AS43" s="108">
        <v>6</v>
      </c>
      <c r="AT43" s="138"/>
      <c r="AU43" s="111">
        <v>6</v>
      </c>
      <c r="AV43" s="100"/>
      <c r="AW43" s="104">
        <v>41</v>
      </c>
      <c r="AX43" s="132">
        <v>4</v>
      </c>
      <c r="AY43" s="132">
        <v>4</v>
      </c>
      <c r="AZ43" s="132">
        <v>4</v>
      </c>
      <c r="BA43" s="108"/>
      <c r="BB43" s="108">
        <v>4</v>
      </c>
      <c r="BC43" s="108">
        <v>4</v>
      </c>
      <c r="BD43" s="108">
        <v>4</v>
      </c>
      <c r="BE43" s="108">
        <v>5</v>
      </c>
      <c r="BF43" s="108">
        <v>5</v>
      </c>
      <c r="BG43" s="108">
        <v>5</v>
      </c>
      <c r="BH43" s="108">
        <v>5</v>
      </c>
      <c r="BI43" s="108">
        <v>4</v>
      </c>
      <c r="BJ43" s="108">
        <v>5</v>
      </c>
      <c r="BK43" s="108">
        <v>5</v>
      </c>
      <c r="BL43" s="108">
        <v>4</v>
      </c>
      <c r="BM43" s="108" t="s">
        <v>246</v>
      </c>
      <c r="BN43" s="108" t="s">
        <v>246</v>
      </c>
      <c r="BO43" s="108">
        <v>4</v>
      </c>
      <c r="BP43" s="108">
        <v>4</v>
      </c>
      <c r="BQ43" s="108">
        <v>5</v>
      </c>
      <c r="BR43" s="138"/>
      <c r="BS43" s="111">
        <v>5</v>
      </c>
    </row>
    <row r="44" spans="1:71" x14ac:dyDescent="0.25">
      <c r="A44" s="104">
        <v>42</v>
      </c>
      <c r="B44" s="130">
        <v>7</v>
      </c>
      <c r="C44" s="130">
        <v>7</v>
      </c>
      <c r="D44" s="130">
        <v>7</v>
      </c>
      <c r="E44" s="107"/>
      <c r="F44" s="108">
        <v>7</v>
      </c>
      <c r="G44" s="108">
        <v>7</v>
      </c>
      <c r="H44" s="108">
        <v>7</v>
      </c>
      <c r="I44" s="108">
        <v>11</v>
      </c>
      <c r="J44" s="107">
        <v>7</v>
      </c>
      <c r="K44" s="108">
        <v>11</v>
      </c>
      <c r="L44" s="108">
        <v>7</v>
      </c>
      <c r="M44" s="108">
        <v>7</v>
      </c>
      <c r="N44" s="108">
        <v>11</v>
      </c>
      <c r="O44" s="108">
        <v>11</v>
      </c>
      <c r="P44" s="108">
        <v>11</v>
      </c>
      <c r="Q44" s="108">
        <v>13</v>
      </c>
      <c r="R44" s="108">
        <v>19</v>
      </c>
      <c r="S44" s="108">
        <v>7</v>
      </c>
      <c r="T44" s="108">
        <v>7</v>
      </c>
      <c r="U44" s="108">
        <v>11</v>
      </c>
      <c r="V44" s="138"/>
      <c r="W44" s="111">
        <v>9</v>
      </c>
      <c r="X44" s="100"/>
      <c r="Y44" s="104">
        <v>42</v>
      </c>
      <c r="Z44" s="130">
        <v>8</v>
      </c>
      <c r="AA44" s="130">
        <v>6</v>
      </c>
      <c r="AB44" s="130">
        <v>6</v>
      </c>
      <c r="AC44" s="108"/>
      <c r="AD44" s="108">
        <v>6</v>
      </c>
      <c r="AE44" s="108">
        <v>6</v>
      </c>
      <c r="AF44" s="108">
        <v>6</v>
      </c>
      <c r="AG44" s="108">
        <v>8</v>
      </c>
      <c r="AH44" s="108">
        <v>8</v>
      </c>
      <c r="AI44" s="108">
        <v>8</v>
      </c>
      <c r="AJ44" s="108">
        <v>6</v>
      </c>
      <c r="AK44" s="108">
        <v>8</v>
      </c>
      <c r="AL44" s="108">
        <v>8</v>
      </c>
      <c r="AM44" s="108">
        <v>8</v>
      </c>
      <c r="AN44" s="108">
        <v>8</v>
      </c>
      <c r="AO44" s="108" t="s">
        <v>246</v>
      </c>
      <c r="AP44" s="108" t="s">
        <v>246</v>
      </c>
      <c r="AQ44" s="108">
        <v>6</v>
      </c>
      <c r="AR44" s="108">
        <v>6</v>
      </c>
      <c r="AS44" s="108">
        <v>6</v>
      </c>
      <c r="AT44" s="138"/>
      <c r="AU44" s="111">
        <v>6</v>
      </c>
      <c r="AV44" s="100"/>
      <c r="AW44" s="104">
        <v>42</v>
      </c>
      <c r="AX44" s="132">
        <v>5</v>
      </c>
      <c r="AY44" s="132">
        <v>5</v>
      </c>
      <c r="AZ44" s="132">
        <v>5</v>
      </c>
      <c r="BA44" s="108"/>
      <c r="BB44" s="108">
        <v>5</v>
      </c>
      <c r="BC44" s="108">
        <v>5</v>
      </c>
      <c r="BD44" s="108">
        <v>5</v>
      </c>
      <c r="BE44" s="108">
        <v>5</v>
      </c>
      <c r="BF44" s="108">
        <v>5</v>
      </c>
      <c r="BG44" s="108">
        <v>5</v>
      </c>
      <c r="BH44" s="108">
        <v>5</v>
      </c>
      <c r="BI44" s="108">
        <v>5</v>
      </c>
      <c r="BJ44" s="108">
        <v>5</v>
      </c>
      <c r="BK44" s="108">
        <v>5</v>
      </c>
      <c r="BL44" s="108">
        <v>5</v>
      </c>
      <c r="BM44" s="108" t="s">
        <v>246</v>
      </c>
      <c r="BN44" s="108" t="s">
        <v>246</v>
      </c>
      <c r="BO44" s="108">
        <v>5</v>
      </c>
      <c r="BP44" s="108">
        <v>5</v>
      </c>
      <c r="BQ44" s="108">
        <v>5</v>
      </c>
      <c r="BR44" s="138"/>
      <c r="BS44" s="111">
        <v>5</v>
      </c>
    </row>
    <row r="45" spans="1:71" x14ac:dyDescent="0.25">
      <c r="A45" s="104">
        <v>43</v>
      </c>
      <c r="B45" s="130">
        <v>7</v>
      </c>
      <c r="C45" s="130">
        <v>7</v>
      </c>
      <c r="D45" s="130">
        <v>7</v>
      </c>
      <c r="E45" s="107"/>
      <c r="F45" s="108">
        <v>7</v>
      </c>
      <c r="G45" s="108">
        <v>7</v>
      </c>
      <c r="H45" s="108">
        <v>7</v>
      </c>
      <c r="I45" s="108">
        <v>13</v>
      </c>
      <c r="J45" s="107">
        <v>9</v>
      </c>
      <c r="K45" s="108">
        <v>13</v>
      </c>
      <c r="L45" s="108">
        <v>7</v>
      </c>
      <c r="M45" s="108">
        <v>7</v>
      </c>
      <c r="N45" s="108">
        <v>11</v>
      </c>
      <c r="O45" s="108">
        <v>13</v>
      </c>
      <c r="P45" s="108">
        <v>11</v>
      </c>
      <c r="Q45" s="108">
        <v>13</v>
      </c>
      <c r="R45" s="108">
        <v>19</v>
      </c>
      <c r="S45" s="108">
        <v>7</v>
      </c>
      <c r="T45" s="108">
        <v>7</v>
      </c>
      <c r="U45" s="108">
        <v>13</v>
      </c>
      <c r="V45" s="138"/>
      <c r="W45" s="111">
        <v>11</v>
      </c>
      <c r="X45" s="100"/>
      <c r="Y45" s="104">
        <v>43</v>
      </c>
      <c r="Z45" s="130">
        <v>8</v>
      </c>
      <c r="AA45" s="130">
        <v>6</v>
      </c>
      <c r="AB45" s="130">
        <v>6</v>
      </c>
      <c r="AC45" s="108"/>
      <c r="AD45" s="108">
        <v>6</v>
      </c>
      <c r="AE45" s="108">
        <v>6</v>
      </c>
      <c r="AF45" s="108">
        <v>6</v>
      </c>
      <c r="AG45" s="108">
        <v>10</v>
      </c>
      <c r="AH45" s="108">
        <v>10</v>
      </c>
      <c r="AI45" s="108">
        <v>9</v>
      </c>
      <c r="AJ45" s="108">
        <v>6</v>
      </c>
      <c r="AK45" s="108">
        <v>8</v>
      </c>
      <c r="AL45" s="108">
        <v>8</v>
      </c>
      <c r="AM45" s="108">
        <v>9</v>
      </c>
      <c r="AN45" s="108">
        <v>8</v>
      </c>
      <c r="AO45" s="108" t="s">
        <v>246</v>
      </c>
      <c r="AP45" s="108" t="s">
        <v>246</v>
      </c>
      <c r="AQ45" s="108">
        <v>6</v>
      </c>
      <c r="AR45" s="108">
        <v>6</v>
      </c>
      <c r="AS45" s="108">
        <v>7</v>
      </c>
      <c r="AT45" s="138"/>
      <c r="AU45" s="111">
        <v>7</v>
      </c>
      <c r="AV45" s="100"/>
      <c r="AW45" s="104">
        <v>43</v>
      </c>
      <c r="AX45" s="132">
        <v>5</v>
      </c>
      <c r="AY45" s="132">
        <v>5</v>
      </c>
      <c r="AZ45" s="132">
        <v>5</v>
      </c>
      <c r="BA45" s="108"/>
      <c r="BB45" s="108">
        <v>5</v>
      </c>
      <c r="BC45" s="108">
        <v>5</v>
      </c>
      <c r="BD45" s="108">
        <v>5</v>
      </c>
      <c r="BE45" s="108">
        <v>5</v>
      </c>
      <c r="BF45" s="108">
        <v>5</v>
      </c>
      <c r="BG45" s="108">
        <v>5</v>
      </c>
      <c r="BH45" s="108">
        <v>5</v>
      </c>
      <c r="BI45" s="108">
        <v>5</v>
      </c>
      <c r="BJ45" s="108">
        <v>5</v>
      </c>
      <c r="BK45" s="108">
        <v>5</v>
      </c>
      <c r="BL45" s="108">
        <v>5</v>
      </c>
      <c r="BM45" s="108" t="s">
        <v>246</v>
      </c>
      <c r="BN45" s="108" t="s">
        <v>246</v>
      </c>
      <c r="BO45" s="108">
        <v>5</v>
      </c>
      <c r="BP45" s="108">
        <v>5</v>
      </c>
      <c r="BQ45" s="108">
        <v>5</v>
      </c>
      <c r="BR45" s="138"/>
      <c r="BS45" s="111">
        <v>5</v>
      </c>
    </row>
    <row r="46" spans="1:71" x14ac:dyDescent="0.25">
      <c r="A46" s="104">
        <v>44</v>
      </c>
      <c r="B46" s="130">
        <v>7</v>
      </c>
      <c r="C46" s="130">
        <v>7</v>
      </c>
      <c r="D46" s="130">
        <v>7</v>
      </c>
      <c r="E46" s="107"/>
      <c r="F46" s="108">
        <v>7</v>
      </c>
      <c r="G46" s="108">
        <v>7</v>
      </c>
      <c r="H46" s="108">
        <v>7</v>
      </c>
      <c r="I46" s="108">
        <v>13</v>
      </c>
      <c r="J46" s="107">
        <v>9</v>
      </c>
      <c r="K46" s="108">
        <v>13</v>
      </c>
      <c r="L46" s="108">
        <v>7</v>
      </c>
      <c r="M46" s="108">
        <v>7</v>
      </c>
      <c r="N46" s="108">
        <v>11</v>
      </c>
      <c r="O46" s="108">
        <v>13</v>
      </c>
      <c r="P46" s="108">
        <v>11</v>
      </c>
      <c r="Q46" s="108">
        <v>13</v>
      </c>
      <c r="R46" s="108">
        <v>19</v>
      </c>
      <c r="S46" s="108">
        <v>7</v>
      </c>
      <c r="T46" s="108">
        <v>7</v>
      </c>
      <c r="U46" s="108">
        <v>13</v>
      </c>
      <c r="V46" s="138"/>
      <c r="W46" s="111">
        <v>11</v>
      </c>
      <c r="X46" s="100"/>
      <c r="Y46" s="104">
        <v>44</v>
      </c>
      <c r="Z46" s="130">
        <v>8</v>
      </c>
      <c r="AA46" s="130">
        <v>6</v>
      </c>
      <c r="AB46" s="130">
        <v>6</v>
      </c>
      <c r="AC46" s="108"/>
      <c r="AD46" s="108">
        <v>6</v>
      </c>
      <c r="AE46" s="108">
        <v>6</v>
      </c>
      <c r="AF46" s="108">
        <v>6</v>
      </c>
      <c r="AG46" s="108">
        <v>10</v>
      </c>
      <c r="AH46" s="108">
        <v>10</v>
      </c>
      <c r="AI46" s="108">
        <v>9</v>
      </c>
      <c r="AJ46" s="108">
        <v>6</v>
      </c>
      <c r="AK46" s="108">
        <v>8</v>
      </c>
      <c r="AL46" s="108">
        <v>9</v>
      </c>
      <c r="AM46" s="108">
        <v>9</v>
      </c>
      <c r="AN46" s="108">
        <v>8</v>
      </c>
      <c r="AO46" s="108" t="s">
        <v>246</v>
      </c>
      <c r="AP46" s="108" t="s">
        <v>246</v>
      </c>
      <c r="AQ46" s="108">
        <v>6</v>
      </c>
      <c r="AR46" s="108">
        <v>6</v>
      </c>
      <c r="AS46" s="108">
        <v>7</v>
      </c>
      <c r="AT46" s="138"/>
      <c r="AU46" s="111">
        <v>7</v>
      </c>
      <c r="AV46" s="100"/>
      <c r="AW46" s="104">
        <v>44</v>
      </c>
      <c r="AX46" s="132">
        <v>5</v>
      </c>
      <c r="AY46" s="132">
        <v>5</v>
      </c>
      <c r="AZ46" s="132">
        <v>5</v>
      </c>
      <c r="BA46" s="108"/>
      <c r="BB46" s="108">
        <v>5</v>
      </c>
      <c r="BC46" s="108">
        <v>5</v>
      </c>
      <c r="BD46" s="108">
        <v>5</v>
      </c>
      <c r="BE46" s="108">
        <v>5</v>
      </c>
      <c r="BF46" s="108">
        <v>5</v>
      </c>
      <c r="BG46" s="108">
        <v>5</v>
      </c>
      <c r="BH46" s="108">
        <v>5</v>
      </c>
      <c r="BI46" s="108">
        <v>5</v>
      </c>
      <c r="BJ46" s="108">
        <v>5</v>
      </c>
      <c r="BK46" s="108">
        <v>5</v>
      </c>
      <c r="BL46" s="108">
        <v>5</v>
      </c>
      <c r="BM46" s="108" t="s">
        <v>246</v>
      </c>
      <c r="BN46" s="108" t="s">
        <v>246</v>
      </c>
      <c r="BO46" s="108">
        <v>5</v>
      </c>
      <c r="BP46" s="108">
        <v>5</v>
      </c>
      <c r="BQ46" s="108">
        <v>5</v>
      </c>
      <c r="BR46" s="138"/>
      <c r="BS46" s="111">
        <v>5</v>
      </c>
    </row>
    <row r="47" spans="1:71" x14ac:dyDescent="0.25">
      <c r="A47" s="104">
        <v>45</v>
      </c>
      <c r="B47" s="130">
        <v>7</v>
      </c>
      <c r="C47" s="130">
        <v>7</v>
      </c>
      <c r="D47" s="130">
        <v>7</v>
      </c>
      <c r="E47" s="107"/>
      <c r="F47" s="108">
        <v>7</v>
      </c>
      <c r="G47" s="108">
        <v>7</v>
      </c>
      <c r="H47" s="108">
        <v>7</v>
      </c>
      <c r="I47" s="108">
        <v>13</v>
      </c>
      <c r="J47" s="107">
        <v>9</v>
      </c>
      <c r="K47" s="108">
        <v>13</v>
      </c>
      <c r="L47" s="108">
        <v>7</v>
      </c>
      <c r="M47" s="108">
        <v>7</v>
      </c>
      <c r="N47" s="108">
        <v>11</v>
      </c>
      <c r="O47" s="108">
        <v>13</v>
      </c>
      <c r="P47" s="108">
        <v>11</v>
      </c>
      <c r="Q47" s="108">
        <v>13</v>
      </c>
      <c r="R47" s="108">
        <v>19</v>
      </c>
      <c r="S47" s="108">
        <v>7</v>
      </c>
      <c r="T47" s="108">
        <v>7</v>
      </c>
      <c r="U47" s="108">
        <v>13</v>
      </c>
      <c r="V47" s="138"/>
      <c r="W47" s="111">
        <v>11</v>
      </c>
      <c r="X47" s="100"/>
      <c r="Y47" s="104">
        <v>45</v>
      </c>
      <c r="Z47" s="130">
        <v>8</v>
      </c>
      <c r="AA47" s="130">
        <v>6</v>
      </c>
      <c r="AB47" s="130">
        <v>6</v>
      </c>
      <c r="AC47" s="108"/>
      <c r="AD47" s="108">
        <v>6</v>
      </c>
      <c r="AE47" s="108">
        <v>6</v>
      </c>
      <c r="AF47" s="108">
        <v>6</v>
      </c>
      <c r="AG47" s="108">
        <v>10</v>
      </c>
      <c r="AH47" s="108">
        <v>10</v>
      </c>
      <c r="AI47" s="108">
        <v>9</v>
      </c>
      <c r="AJ47" s="108">
        <v>6</v>
      </c>
      <c r="AK47" s="108">
        <v>8</v>
      </c>
      <c r="AL47" s="108">
        <v>9</v>
      </c>
      <c r="AM47" s="108">
        <v>9</v>
      </c>
      <c r="AN47" s="108">
        <v>8</v>
      </c>
      <c r="AO47" s="108" t="s">
        <v>246</v>
      </c>
      <c r="AP47" s="108" t="s">
        <v>246</v>
      </c>
      <c r="AQ47" s="108">
        <v>6</v>
      </c>
      <c r="AR47" s="108">
        <v>6</v>
      </c>
      <c r="AS47" s="108">
        <v>7</v>
      </c>
      <c r="AT47" s="138"/>
      <c r="AU47" s="111">
        <v>7</v>
      </c>
      <c r="AV47" s="100"/>
      <c r="AW47" s="104">
        <v>45</v>
      </c>
      <c r="AX47" s="132">
        <v>5</v>
      </c>
      <c r="AY47" s="132">
        <v>5</v>
      </c>
      <c r="AZ47" s="132">
        <v>5</v>
      </c>
      <c r="BA47" s="108"/>
      <c r="BB47" s="108">
        <v>5</v>
      </c>
      <c r="BC47" s="108">
        <v>5</v>
      </c>
      <c r="BD47" s="108">
        <v>5</v>
      </c>
      <c r="BE47" s="108">
        <v>5</v>
      </c>
      <c r="BF47" s="108">
        <v>5</v>
      </c>
      <c r="BG47" s="108">
        <v>5</v>
      </c>
      <c r="BH47" s="108">
        <v>5</v>
      </c>
      <c r="BI47" s="108">
        <v>5</v>
      </c>
      <c r="BJ47" s="108">
        <v>5</v>
      </c>
      <c r="BK47" s="108">
        <v>5</v>
      </c>
      <c r="BL47" s="108">
        <v>5</v>
      </c>
      <c r="BM47" s="108" t="s">
        <v>246</v>
      </c>
      <c r="BN47" s="108" t="s">
        <v>246</v>
      </c>
      <c r="BO47" s="108">
        <v>5</v>
      </c>
      <c r="BP47" s="108">
        <v>5</v>
      </c>
      <c r="BQ47" s="108">
        <v>5</v>
      </c>
      <c r="BR47" s="138"/>
      <c r="BS47" s="111">
        <v>5</v>
      </c>
    </row>
    <row r="48" spans="1:71" x14ac:dyDescent="0.25">
      <c r="A48" s="104">
        <v>46</v>
      </c>
      <c r="B48" s="130">
        <v>7</v>
      </c>
      <c r="C48" s="130">
        <v>7</v>
      </c>
      <c r="D48" s="130">
        <v>7</v>
      </c>
      <c r="E48" s="107"/>
      <c r="F48" s="108">
        <v>7</v>
      </c>
      <c r="G48" s="108">
        <v>7</v>
      </c>
      <c r="H48" s="108">
        <v>7</v>
      </c>
      <c r="I48" s="108">
        <v>13</v>
      </c>
      <c r="J48" s="107">
        <v>9</v>
      </c>
      <c r="K48" s="108">
        <v>13</v>
      </c>
      <c r="L48" s="108">
        <v>7</v>
      </c>
      <c r="M48" s="108">
        <v>7</v>
      </c>
      <c r="N48" s="108">
        <v>11</v>
      </c>
      <c r="O48" s="108">
        <v>13</v>
      </c>
      <c r="P48" s="108">
        <v>11</v>
      </c>
      <c r="Q48" s="108">
        <v>13</v>
      </c>
      <c r="R48" s="108">
        <v>19</v>
      </c>
      <c r="S48" s="108">
        <v>7</v>
      </c>
      <c r="T48" s="108">
        <v>7</v>
      </c>
      <c r="U48" s="108">
        <v>13</v>
      </c>
      <c r="V48" s="138"/>
      <c r="W48" s="111">
        <v>11</v>
      </c>
      <c r="X48" s="100"/>
      <c r="Y48" s="104">
        <v>46</v>
      </c>
      <c r="Z48" s="130">
        <v>8</v>
      </c>
      <c r="AA48" s="130">
        <v>6</v>
      </c>
      <c r="AB48" s="130">
        <v>6</v>
      </c>
      <c r="AC48" s="108"/>
      <c r="AD48" s="108">
        <v>6</v>
      </c>
      <c r="AE48" s="108">
        <v>6</v>
      </c>
      <c r="AF48" s="108">
        <v>6</v>
      </c>
      <c r="AG48" s="108">
        <v>10</v>
      </c>
      <c r="AH48" s="108">
        <v>10</v>
      </c>
      <c r="AI48" s="108">
        <v>9</v>
      </c>
      <c r="AJ48" s="108">
        <v>6</v>
      </c>
      <c r="AK48" s="108">
        <v>8</v>
      </c>
      <c r="AL48" s="108">
        <v>9</v>
      </c>
      <c r="AM48" s="108">
        <v>9</v>
      </c>
      <c r="AN48" s="108">
        <v>8</v>
      </c>
      <c r="AO48" s="108" t="s">
        <v>246</v>
      </c>
      <c r="AP48" s="108" t="s">
        <v>246</v>
      </c>
      <c r="AQ48" s="108">
        <v>6</v>
      </c>
      <c r="AR48" s="108">
        <v>6</v>
      </c>
      <c r="AS48" s="108">
        <v>7</v>
      </c>
      <c r="AT48" s="138"/>
      <c r="AU48" s="111">
        <v>7</v>
      </c>
      <c r="AV48" s="100"/>
      <c r="AW48" s="104">
        <v>46</v>
      </c>
      <c r="AX48" s="132">
        <v>5</v>
      </c>
      <c r="AY48" s="132">
        <v>5</v>
      </c>
      <c r="AZ48" s="132">
        <v>5</v>
      </c>
      <c r="BA48" s="108"/>
      <c r="BB48" s="108">
        <v>5</v>
      </c>
      <c r="BC48" s="108">
        <v>5</v>
      </c>
      <c r="BD48" s="108">
        <v>5</v>
      </c>
      <c r="BE48" s="108">
        <v>5</v>
      </c>
      <c r="BF48" s="108">
        <v>5</v>
      </c>
      <c r="BG48" s="108">
        <v>5</v>
      </c>
      <c r="BH48" s="108">
        <v>5</v>
      </c>
      <c r="BI48" s="108">
        <v>5</v>
      </c>
      <c r="BJ48" s="108">
        <v>5</v>
      </c>
      <c r="BK48" s="108">
        <v>5</v>
      </c>
      <c r="BL48" s="108">
        <v>5</v>
      </c>
      <c r="BM48" s="108" t="s">
        <v>246</v>
      </c>
      <c r="BN48" s="108" t="s">
        <v>246</v>
      </c>
      <c r="BO48" s="108">
        <v>5</v>
      </c>
      <c r="BP48" s="108">
        <v>5</v>
      </c>
      <c r="BQ48" s="108">
        <v>5</v>
      </c>
      <c r="BR48" s="138"/>
      <c r="BS48" s="111">
        <v>5</v>
      </c>
    </row>
    <row r="49" spans="1:71" x14ac:dyDescent="0.25">
      <c r="A49" s="104">
        <v>47</v>
      </c>
      <c r="B49" s="130">
        <v>7</v>
      </c>
      <c r="C49" s="130">
        <v>7</v>
      </c>
      <c r="D49" s="130">
        <v>7</v>
      </c>
      <c r="E49" s="107"/>
      <c r="F49" s="108">
        <v>7</v>
      </c>
      <c r="G49" s="108">
        <v>7</v>
      </c>
      <c r="H49" s="108">
        <v>7</v>
      </c>
      <c r="I49" s="108">
        <v>13</v>
      </c>
      <c r="J49" s="107">
        <v>9</v>
      </c>
      <c r="K49" s="108">
        <v>13</v>
      </c>
      <c r="L49" s="108">
        <v>7</v>
      </c>
      <c r="M49" s="108">
        <v>7</v>
      </c>
      <c r="N49" s="108">
        <v>11</v>
      </c>
      <c r="O49" s="108">
        <v>13</v>
      </c>
      <c r="P49" s="108">
        <v>11</v>
      </c>
      <c r="Q49" s="108">
        <v>13</v>
      </c>
      <c r="R49" s="108">
        <v>19</v>
      </c>
      <c r="S49" s="108">
        <v>7</v>
      </c>
      <c r="T49" s="108">
        <v>7</v>
      </c>
      <c r="U49" s="108">
        <v>13</v>
      </c>
      <c r="V49" s="138"/>
      <c r="W49" s="111">
        <v>11</v>
      </c>
      <c r="X49" s="100"/>
      <c r="Y49" s="104">
        <v>47</v>
      </c>
      <c r="Z49" s="130">
        <v>8</v>
      </c>
      <c r="AA49" s="130">
        <v>6</v>
      </c>
      <c r="AB49" s="130">
        <v>6</v>
      </c>
      <c r="AC49" s="108"/>
      <c r="AD49" s="108">
        <v>6</v>
      </c>
      <c r="AE49" s="108">
        <v>6</v>
      </c>
      <c r="AF49" s="108">
        <v>6</v>
      </c>
      <c r="AG49" s="108">
        <v>10</v>
      </c>
      <c r="AH49" s="108">
        <v>10</v>
      </c>
      <c r="AI49" s="108">
        <v>9</v>
      </c>
      <c r="AJ49" s="108">
        <v>6</v>
      </c>
      <c r="AK49" s="108">
        <v>8</v>
      </c>
      <c r="AL49" s="108">
        <v>9</v>
      </c>
      <c r="AM49" s="108">
        <v>9</v>
      </c>
      <c r="AN49" s="108">
        <v>8</v>
      </c>
      <c r="AO49" s="108" t="s">
        <v>246</v>
      </c>
      <c r="AP49" s="108" t="s">
        <v>246</v>
      </c>
      <c r="AQ49" s="108">
        <v>6</v>
      </c>
      <c r="AR49" s="108">
        <v>6</v>
      </c>
      <c r="AS49" s="108">
        <v>7</v>
      </c>
      <c r="AT49" s="138"/>
      <c r="AU49" s="111">
        <v>7</v>
      </c>
      <c r="AV49" s="100"/>
      <c r="AW49" s="104">
        <v>47</v>
      </c>
      <c r="AX49" s="132">
        <v>5</v>
      </c>
      <c r="AY49" s="132">
        <v>5</v>
      </c>
      <c r="AZ49" s="132">
        <v>5</v>
      </c>
      <c r="BA49" s="108"/>
      <c r="BB49" s="108">
        <v>5</v>
      </c>
      <c r="BC49" s="108">
        <v>5</v>
      </c>
      <c r="BD49" s="108">
        <v>5</v>
      </c>
      <c r="BE49" s="108">
        <v>5</v>
      </c>
      <c r="BF49" s="108">
        <v>5</v>
      </c>
      <c r="BG49" s="108">
        <v>5</v>
      </c>
      <c r="BH49" s="108">
        <v>5</v>
      </c>
      <c r="BI49" s="108">
        <v>5</v>
      </c>
      <c r="BJ49" s="108">
        <v>5</v>
      </c>
      <c r="BK49" s="108">
        <v>5</v>
      </c>
      <c r="BL49" s="108">
        <v>5</v>
      </c>
      <c r="BM49" s="108" t="s">
        <v>246</v>
      </c>
      <c r="BN49" s="108" t="s">
        <v>246</v>
      </c>
      <c r="BO49" s="108">
        <v>5</v>
      </c>
      <c r="BP49" s="108">
        <v>5</v>
      </c>
      <c r="BQ49" s="108">
        <v>5</v>
      </c>
      <c r="BR49" s="138"/>
      <c r="BS49" s="111">
        <v>5</v>
      </c>
    </row>
    <row r="50" spans="1:71" x14ac:dyDescent="0.25">
      <c r="A50" s="104">
        <v>48</v>
      </c>
      <c r="B50" s="130">
        <v>9</v>
      </c>
      <c r="C50" s="130">
        <v>7</v>
      </c>
      <c r="D50" s="130">
        <v>9</v>
      </c>
      <c r="E50" s="107"/>
      <c r="F50" s="108">
        <v>7</v>
      </c>
      <c r="G50" s="108">
        <v>9</v>
      </c>
      <c r="H50" s="108">
        <v>9</v>
      </c>
      <c r="I50" s="108">
        <v>13</v>
      </c>
      <c r="J50" s="107">
        <v>9</v>
      </c>
      <c r="K50" s="108">
        <v>13</v>
      </c>
      <c r="L50" s="108">
        <v>9</v>
      </c>
      <c r="M50" s="108">
        <v>9</v>
      </c>
      <c r="N50" s="108">
        <v>13</v>
      </c>
      <c r="O50" s="108">
        <v>13</v>
      </c>
      <c r="P50" s="108">
        <v>13</v>
      </c>
      <c r="Q50" s="108">
        <v>15</v>
      </c>
      <c r="R50" s="108">
        <v>23</v>
      </c>
      <c r="S50" s="108">
        <v>9</v>
      </c>
      <c r="T50" s="108">
        <v>9</v>
      </c>
      <c r="U50" s="108">
        <v>13</v>
      </c>
      <c r="V50" s="138"/>
      <c r="W50" s="111">
        <v>11</v>
      </c>
      <c r="X50" s="100"/>
      <c r="Y50" s="104">
        <v>48</v>
      </c>
      <c r="Z50" s="130">
        <v>9</v>
      </c>
      <c r="AA50" s="130">
        <v>7</v>
      </c>
      <c r="AB50" s="130">
        <v>7</v>
      </c>
      <c r="AC50" s="108"/>
      <c r="AD50" s="108">
        <v>7</v>
      </c>
      <c r="AE50" s="108">
        <v>7</v>
      </c>
      <c r="AF50" s="108">
        <v>7</v>
      </c>
      <c r="AG50" s="108">
        <v>10</v>
      </c>
      <c r="AH50" s="108">
        <v>10</v>
      </c>
      <c r="AI50" s="108">
        <v>9</v>
      </c>
      <c r="AJ50" s="108">
        <v>7</v>
      </c>
      <c r="AK50" s="108">
        <v>9</v>
      </c>
      <c r="AL50" s="108">
        <v>9</v>
      </c>
      <c r="AM50" s="108">
        <v>9</v>
      </c>
      <c r="AN50" s="108">
        <v>9</v>
      </c>
      <c r="AO50" s="108" t="s">
        <v>246</v>
      </c>
      <c r="AP50" s="108" t="s">
        <v>246</v>
      </c>
      <c r="AQ50" s="108">
        <v>7</v>
      </c>
      <c r="AR50" s="108">
        <v>7</v>
      </c>
      <c r="AS50" s="108">
        <v>7</v>
      </c>
      <c r="AT50" s="138"/>
      <c r="AU50" s="111">
        <v>7</v>
      </c>
      <c r="AV50" s="100"/>
      <c r="AW50" s="104">
        <v>48</v>
      </c>
      <c r="AX50" s="132">
        <v>5</v>
      </c>
      <c r="AY50" s="132">
        <v>5</v>
      </c>
      <c r="AZ50" s="132">
        <v>5</v>
      </c>
      <c r="BA50" s="108"/>
      <c r="BB50" s="108">
        <v>5</v>
      </c>
      <c r="BC50" s="108">
        <v>5</v>
      </c>
      <c r="BD50" s="108">
        <v>5</v>
      </c>
      <c r="BE50" s="108">
        <v>5</v>
      </c>
      <c r="BF50" s="108">
        <v>5</v>
      </c>
      <c r="BG50" s="108">
        <v>5</v>
      </c>
      <c r="BH50" s="108">
        <v>5</v>
      </c>
      <c r="BI50" s="108">
        <v>5</v>
      </c>
      <c r="BJ50" s="108">
        <v>5</v>
      </c>
      <c r="BK50" s="108">
        <v>5</v>
      </c>
      <c r="BL50" s="108">
        <v>5</v>
      </c>
      <c r="BM50" s="108" t="s">
        <v>246</v>
      </c>
      <c r="BN50" s="108" t="s">
        <v>246</v>
      </c>
      <c r="BO50" s="108">
        <v>5</v>
      </c>
      <c r="BP50" s="108">
        <v>5</v>
      </c>
      <c r="BQ50" s="108">
        <v>5</v>
      </c>
      <c r="BR50" s="138"/>
      <c r="BS50" s="111">
        <v>5</v>
      </c>
    </row>
    <row r="51" spans="1:71" x14ac:dyDescent="0.25">
      <c r="A51" s="104">
        <v>49</v>
      </c>
      <c r="B51" s="130">
        <v>9</v>
      </c>
      <c r="C51" s="130">
        <v>7</v>
      </c>
      <c r="D51" s="130">
        <v>9</v>
      </c>
      <c r="E51" s="107"/>
      <c r="F51" s="108">
        <v>9</v>
      </c>
      <c r="G51" s="108">
        <v>9</v>
      </c>
      <c r="H51" s="108">
        <v>9</v>
      </c>
      <c r="I51" s="108">
        <v>15</v>
      </c>
      <c r="J51" s="107">
        <v>9</v>
      </c>
      <c r="K51" s="108">
        <v>15</v>
      </c>
      <c r="L51" s="108">
        <v>9</v>
      </c>
      <c r="M51" s="108">
        <v>9</v>
      </c>
      <c r="N51" s="108">
        <v>13</v>
      </c>
      <c r="O51" s="108">
        <v>15</v>
      </c>
      <c r="P51" s="108">
        <v>13</v>
      </c>
      <c r="Q51" s="108">
        <v>15</v>
      </c>
      <c r="R51" s="108">
        <v>23</v>
      </c>
      <c r="S51" s="108">
        <v>9</v>
      </c>
      <c r="T51" s="108">
        <v>9</v>
      </c>
      <c r="U51" s="108">
        <v>15</v>
      </c>
      <c r="V51" s="138"/>
      <c r="W51" s="109"/>
      <c r="X51" s="100"/>
      <c r="Y51" s="104">
        <v>49</v>
      </c>
      <c r="Z51" s="130">
        <v>9</v>
      </c>
      <c r="AA51" s="130">
        <v>7</v>
      </c>
      <c r="AB51" s="130">
        <v>7</v>
      </c>
      <c r="AC51" s="108"/>
      <c r="AD51" s="108">
        <v>7</v>
      </c>
      <c r="AE51" s="108">
        <v>7</v>
      </c>
      <c r="AF51" s="108">
        <v>7</v>
      </c>
      <c r="AG51" s="108">
        <v>10</v>
      </c>
      <c r="AH51" s="108">
        <v>10</v>
      </c>
      <c r="AI51" s="108">
        <v>10</v>
      </c>
      <c r="AJ51" s="108">
        <v>7</v>
      </c>
      <c r="AK51" s="108">
        <v>9</v>
      </c>
      <c r="AL51" s="108">
        <v>9</v>
      </c>
      <c r="AM51" s="108">
        <v>10</v>
      </c>
      <c r="AN51" s="108">
        <v>9</v>
      </c>
      <c r="AO51" s="108" t="s">
        <v>246</v>
      </c>
      <c r="AP51" s="108" t="s">
        <v>246</v>
      </c>
      <c r="AQ51" s="108">
        <v>7</v>
      </c>
      <c r="AR51" s="108">
        <v>7</v>
      </c>
      <c r="AS51" s="112"/>
      <c r="AT51" s="141"/>
      <c r="AU51" s="109"/>
      <c r="AV51" s="100"/>
      <c r="AW51" s="104">
        <v>49</v>
      </c>
      <c r="AX51" s="132">
        <v>5</v>
      </c>
      <c r="AY51" s="132">
        <v>5</v>
      </c>
      <c r="AZ51" s="132">
        <v>5</v>
      </c>
      <c r="BA51" s="108"/>
      <c r="BB51" s="108">
        <v>5</v>
      </c>
      <c r="BC51" s="108">
        <v>5</v>
      </c>
      <c r="BD51" s="108">
        <v>5</v>
      </c>
      <c r="BE51" s="108">
        <v>6</v>
      </c>
      <c r="BF51" s="108">
        <v>6</v>
      </c>
      <c r="BG51" s="108">
        <v>6</v>
      </c>
      <c r="BH51" s="108">
        <v>5</v>
      </c>
      <c r="BI51" s="108">
        <v>5</v>
      </c>
      <c r="BJ51" s="108">
        <v>5</v>
      </c>
      <c r="BK51" s="108">
        <v>6</v>
      </c>
      <c r="BL51" s="108">
        <v>5</v>
      </c>
      <c r="BM51" s="108" t="s">
        <v>246</v>
      </c>
      <c r="BN51" s="108" t="s">
        <v>246</v>
      </c>
      <c r="BO51" s="108">
        <v>5</v>
      </c>
      <c r="BP51" s="108">
        <v>5</v>
      </c>
      <c r="BQ51" s="113"/>
      <c r="BR51" s="145"/>
      <c r="BS51" s="114"/>
    </row>
    <row r="52" spans="1:71" x14ac:dyDescent="0.25">
      <c r="A52" s="104">
        <v>50</v>
      </c>
      <c r="B52" s="130">
        <v>9</v>
      </c>
      <c r="C52" s="130">
        <v>7</v>
      </c>
      <c r="D52" s="130">
        <v>9</v>
      </c>
      <c r="E52" s="107"/>
      <c r="F52" s="108">
        <v>9</v>
      </c>
      <c r="G52" s="108">
        <v>9</v>
      </c>
      <c r="H52" s="108">
        <v>9</v>
      </c>
      <c r="I52" s="108">
        <v>15</v>
      </c>
      <c r="J52" s="107">
        <v>9</v>
      </c>
      <c r="K52" s="108">
        <v>15</v>
      </c>
      <c r="L52" s="108">
        <v>9</v>
      </c>
      <c r="M52" s="108">
        <v>9</v>
      </c>
      <c r="N52" s="108">
        <v>13</v>
      </c>
      <c r="O52" s="108">
        <v>15</v>
      </c>
      <c r="P52" s="108">
        <v>13</v>
      </c>
      <c r="Q52" s="108">
        <v>15</v>
      </c>
      <c r="R52" s="108">
        <v>23</v>
      </c>
      <c r="S52" s="108">
        <v>9</v>
      </c>
      <c r="T52" s="108">
        <v>9</v>
      </c>
      <c r="U52" s="108">
        <v>15</v>
      </c>
      <c r="V52" s="138"/>
      <c r="W52" s="109"/>
      <c r="X52" s="100"/>
      <c r="Y52" s="104">
        <v>50</v>
      </c>
      <c r="Z52" s="130">
        <v>9</v>
      </c>
      <c r="AA52" s="130">
        <v>7</v>
      </c>
      <c r="AB52" s="130">
        <v>7</v>
      </c>
      <c r="AC52" s="108"/>
      <c r="AD52" s="108">
        <v>7</v>
      </c>
      <c r="AE52" s="108">
        <v>7</v>
      </c>
      <c r="AF52" s="108">
        <v>7</v>
      </c>
      <c r="AG52" s="108">
        <v>10</v>
      </c>
      <c r="AH52" s="108">
        <v>10</v>
      </c>
      <c r="AI52" s="108">
        <v>10</v>
      </c>
      <c r="AJ52" s="108">
        <v>7</v>
      </c>
      <c r="AK52" s="108">
        <v>9</v>
      </c>
      <c r="AL52" s="108">
        <v>10</v>
      </c>
      <c r="AM52" s="108">
        <v>10</v>
      </c>
      <c r="AN52" s="108">
        <v>9</v>
      </c>
      <c r="AO52" s="108" t="s">
        <v>246</v>
      </c>
      <c r="AP52" s="108" t="s">
        <v>246</v>
      </c>
      <c r="AQ52" s="108">
        <v>7</v>
      </c>
      <c r="AR52" s="108">
        <v>7</v>
      </c>
      <c r="AS52" s="112"/>
      <c r="AT52" s="141"/>
      <c r="AU52" s="109"/>
      <c r="AV52" s="100"/>
      <c r="AW52" s="104">
        <v>50</v>
      </c>
      <c r="AX52" s="132">
        <v>5</v>
      </c>
      <c r="AY52" s="132">
        <v>5</v>
      </c>
      <c r="AZ52" s="132">
        <v>5</v>
      </c>
      <c r="BA52" s="108"/>
      <c r="BB52" s="108">
        <v>5</v>
      </c>
      <c r="BC52" s="108">
        <v>5</v>
      </c>
      <c r="BD52" s="108">
        <v>5</v>
      </c>
      <c r="BE52" s="108">
        <v>6</v>
      </c>
      <c r="BF52" s="108">
        <v>6</v>
      </c>
      <c r="BG52" s="108">
        <v>6</v>
      </c>
      <c r="BH52" s="108">
        <v>5</v>
      </c>
      <c r="BI52" s="108">
        <v>5</v>
      </c>
      <c r="BJ52" s="108">
        <v>6</v>
      </c>
      <c r="BK52" s="108">
        <v>6</v>
      </c>
      <c r="BL52" s="108">
        <v>5</v>
      </c>
      <c r="BM52" s="108" t="s">
        <v>246</v>
      </c>
      <c r="BN52" s="108" t="s">
        <v>246</v>
      </c>
      <c r="BO52" s="108">
        <v>5</v>
      </c>
      <c r="BP52" s="108">
        <v>5</v>
      </c>
      <c r="BQ52" s="113"/>
      <c r="BR52" s="145"/>
      <c r="BS52" s="114"/>
    </row>
    <row r="53" spans="1:71" x14ac:dyDescent="0.25">
      <c r="A53" s="104">
        <v>51</v>
      </c>
      <c r="B53" s="130">
        <v>9</v>
      </c>
      <c r="C53" s="130">
        <v>7</v>
      </c>
      <c r="D53" s="130">
        <v>9</v>
      </c>
      <c r="E53" s="107"/>
      <c r="F53" s="108">
        <v>9</v>
      </c>
      <c r="G53" s="108">
        <v>9</v>
      </c>
      <c r="H53" s="108">
        <v>9</v>
      </c>
      <c r="I53" s="108">
        <v>15</v>
      </c>
      <c r="J53" s="107">
        <v>9</v>
      </c>
      <c r="K53" s="108">
        <v>15</v>
      </c>
      <c r="L53" s="108">
        <v>9</v>
      </c>
      <c r="M53" s="108">
        <v>9</v>
      </c>
      <c r="N53" s="108">
        <v>13</v>
      </c>
      <c r="O53" s="108">
        <v>15</v>
      </c>
      <c r="P53" s="108">
        <v>13</v>
      </c>
      <c r="Q53" s="108">
        <v>15</v>
      </c>
      <c r="R53" s="108">
        <v>23</v>
      </c>
      <c r="S53" s="108">
        <v>9</v>
      </c>
      <c r="T53" s="108">
        <v>9</v>
      </c>
      <c r="U53" s="108">
        <v>15</v>
      </c>
      <c r="V53" s="138"/>
      <c r="W53" s="109"/>
      <c r="X53" s="100"/>
      <c r="Y53" s="104">
        <v>51</v>
      </c>
      <c r="Z53" s="130">
        <v>9</v>
      </c>
      <c r="AA53" s="130">
        <v>7</v>
      </c>
      <c r="AB53" s="130">
        <v>7</v>
      </c>
      <c r="AC53" s="108"/>
      <c r="AD53" s="108">
        <v>7</v>
      </c>
      <c r="AE53" s="108">
        <v>7</v>
      </c>
      <c r="AF53" s="108">
        <v>7</v>
      </c>
      <c r="AG53" s="108">
        <v>10</v>
      </c>
      <c r="AH53" s="108">
        <v>10</v>
      </c>
      <c r="AI53" s="108">
        <v>10</v>
      </c>
      <c r="AJ53" s="108">
        <v>7</v>
      </c>
      <c r="AK53" s="108">
        <v>9</v>
      </c>
      <c r="AL53" s="108">
        <v>10</v>
      </c>
      <c r="AM53" s="108">
        <v>10</v>
      </c>
      <c r="AN53" s="108">
        <v>9</v>
      </c>
      <c r="AO53" s="108" t="s">
        <v>246</v>
      </c>
      <c r="AP53" s="108" t="s">
        <v>246</v>
      </c>
      <c r="AQ53" s="108">
        <v>7</v>
      </c>
      <c r="AR53" s="108">
        <v>7</v>
      </c>
      <c r="AS53" s="112"/>
      <c r="AT53" s="141"/>
      <c r="AU53" s="109"/>
      <c r="AV53" s="100"/>
      <c r="AW53" s="104">
        <v>51</v>
      </c>
      <c r="AX53" s="132">
        <v>5</v>
      </c>
      <c r="AY53" s="132">
        <v>5</v>
      </c>
      <c r="AZ53" s="132">
        <v>5</v>
      </c>
      <c r="BA53" s="108"/>
      <c r="BB53" s="108">
        <v>5</v>
      </c>
      <c r="BC53" s="108">
        <v>5</v>
      </c>
      <c r="BD53" s="108">
        <v>5</v>
      </c>
      <c r="BE53" s="108">
        <v>6</v>
      </c>
      <c r="BF53" s="108">
        <v>6</v>
      </c>
      <c r="BG53" s="108">
        <v>6</v>
      </c>
      <c r="BH53" s="108">
        <v>5</v>
      </c>
      <c r="BI53" s="108">
        <v>5</v>
      </c>
      <c r="BJ53" s="108">
        <v>6</v>
      </c>
      <c r="BK53" s="108">
        <v>6</v>
      </c>
      <c r="BL53" s="108">
        <v>5</v>
      </c>
      <c r="BM53" s="108" t="s">
        <v>246</v>
      </c>
      <c r="BN53" s="108" t="s">
        <v>246</v>
      </c>
      <c r="BO53" s="108">
        <v>5</v>
      </c>
      <c r="BP53" s="108">
        <v>5</v>
      </c>
      <c r="BQ53" s="113"/>
      <c r="BR53" s="145"/>
      <c r="BS53" s="114"/>
    </row>
    <row r="54" spans="1:71" x14ac:dyDescent="0.25">
      <c r="A54" s="104">
        <v>52</v>
      </c>
      <c r="B54" s="130">
        <v>9</v>
      </c>
      <c r="C54" s="130">
        <v>7</v>
      </c>
      <c r="D54" s="130">
        <v>9</v>
      </c>
      <c r="E54" s="107"/>
      <c r="F54" s="108">
        <v>9</v>
      </c>
      <c r="G54" s="108">
        <v>9</v>
      </c>
      <c r="H54" s="108">
        <v>9</v>
      </c>
      <c r="I54" s="108">
        <v>15</v>
      </c>
      <c r="J54" s="107">
        <v>9</v>
      </c>
      <c r="K54" s="108">
        <v>15</v>
      </c>
      <c r="L54" s="108">
        <v>9</v>
      </c>
      <c r="M54" s="108">
        <v>9</v>
      </c>
      <c r="N54" s="108">
        <v>13</v>
      </c>
      <c r="O54" s="108">
        <v>15</v>
      </c>
      <c r="P54" s="108">
        <v>13</v>
      </c>
      <c r="Q54" s="108">
        <v>15</v>
      </c>
      <c r="R54" s="108">
        <v>23</v>
      </c>
      <c r="S54" s="108">
        <v>9</v>
      </c>
      <c r="T54" s="108">
        <v>9</v>
      </c>
      <c r="U54" s="108">
        <v>15</v>
      </c>
      <c r="V54" s="138"/>
      <c r="W54" s="109"/>
      <c r="X54" s="100"/>
      <c r="Y54" s="104">
        <v>52</v>
      </c>
      <c r="Z54" s="130">
        <v>9</v>
      </c>
      <c r="AA54" s="130">
        <v>7</v>
      </c>
      <c r="AB54" s="130">
        <v>7</v>
      </c>
      <c r="AC54" s="108"/>
      <c r="AD54" s="108">
        <v>7</v>
      </c>
      <c r="AE54" s="108">
        <v>7</v>
      </c>
      <c r="AF54" s="108">
        <v>7</v>
      </c>
      <c r="AG54" s="108">
        <v>10</v>
      </c>
      <c r="AH54" s="108">
        <v>10</v>
      </c>
      <c r="AI54" s="108">
        <v>10</v>
      </c>
      <c r="AJ54" s="108">
        <v>7</v>
      </c>
      <c r="AK54" s="108">
        <v>9</v>
      </c>
      <c r="AL54" s="108">
        <v>10</v>
      </c>
      <c r="AM54" s="108">
        <v>10</v>
      </c>
      <c r="AN54" s="108">
        <v>9</v>
      </c>
      <c r="AO54" s="108" t="s">
        <v>246</v>
      </c>
      <c r="AP54" s="108" t="s">
        <v>246</v>
      </c>
      <c r="AQ54" s="108">
        <v>7</v>
      </c>
      <c r="AR54" s="108">
        <v>7</v>
      </c>
      <c r="AS54" s="112"/>
      <c r="AT54" s="141"/>
      <c r="AU54" s="109"/>
      <c r="AV54" s="100"/>
      <c r="AW54" s="104">
        <v>52</v>
      </c>
      <c r="AX54" s="132">
        <v>5</v>
      </c>
      <c r="AY54" s="132">
        <v>5</v>
      </c>
      <c r="AZ54" s="132">
        <v>5</v>
      </c>
      <c r="BA54" s="108"/>
      <c r="BB54" s="108">
        <v>5</v>
      </c>
      <c r="BC54" s="108">
        <v>5</v>
      </c>
      <c r="BD54" s="108">
        <v>5</v>
      </c>
      <c r="BE54" s="108">
        <v>6</v>
      </c>
      <c r="BF54" s="108">
        <v>6</v>
      </c>
      <c r="BG54" s="108">
        <v>6</v>
      </c>
      <c r="BH54" s="108">
        <v>5</v>
      </c>
      <c r="BI54" s="108">
        <v>5</v>
      </c>
      <c r="BJ54" s="108">
        <v>6</v>
      </c>
      <c r="BK54" s="108">
        <v>6</v>
      </c>
      <c r="BL54" s="108">
        <v>5</v>
      </c>
      <c r="BM54" s="108" t="s">
        <v>246</v>
      </c>
      <c r="BN54" s="108" t="s">
        <v>246</v>
      </c>
      <c r="BO54" s="108">
        <v>5</v>
      </c>
      <c r="BP54" s="108">
        <v>5</v>
      </c>
      <c r="BQ54" s="113"/>
      <c r="BR54" s="145"/>
      <c r="BS54" s="114"/>
    </row>
    <row r="55" spans="1:71" x14ac:dyDescent="0.25">
      <c r="A55" s="104">
        <v>53</v>
      </c>
      <c r="B55" s="130">
        <v>9</v>
      </c>
      <c r="C55" s="130">
        <v>7</v>
      </c>
      <c r="D55" s="130">
        <v>9</v>
      </c>
      <c r="E55" s="107"/>
      <c r="F55" s="108">
        <v>9</v>
      </c>
      <c r="G55" s="108">
        <v>9</v>
      </c>
      <c r="H55" s="108">
        <v>9</v>
      </c>
      <c r="I55" s="108">
        <v>15</v>
      </c>
      <c r="J55" s="107">
        <v>9</v>
      </c>
      <c r="K55" s="108">
        <v>15</v>
      </c>
      <c r="L55" s="108">
        <v>9</v>
      </c>
      <c r="M55" s="108">
        <v>9</v>
      </c>
      <c r="N55" s="108">
        <v>13</v>
      </c>
      <c r="O55" s="108">
        <v>15</v>
      </c>
      <c r="P55" s="108">
        <v>13</v>
      </c>
      <c r="Q55" s="108">
        <v>15</v>
      </c>
      <c r="R55" s="108">
        <v>23</v>
      </c>
      <c r="S55" s="108">
        <v>9</v>
      </c>
      <c r="T55" s="108">
        <v>9</v>
      </c>
      <c r="U55" s="108">
        <v>15</v>
      </c>
      <c r="V55" s="138"/>
      <c r="W55" s="109"/>
      <c r="X55" s="100"/>
      <c r="Y55" s="104">
        <v>53</v>
      </c>
      <c r="Z55" s="130">
        <v>9</v>
      </c>
      <c r="AA55" s="130">
        <v>7</v>
      </c>
      <c r="AB55" s="130">
        <v>7</v>
      </c>
      <c r="AC55" s="108"/>
      <c r="AD55" s="108">
        <v>7</v>
      </c>
      <c r="AE55" s="108">
        <v>7</v>
      </c>
      <c r="AF55" s="108">
        <v>7</v>
      </c>
      <c r="AG55" s="108">
        <v>10</v>
      </c>
      <c r="AH55" s="108">
        <v>10</v>
      </c>
      <c r="AI55" s="108">
        <v>10</v>
      </c>
      <c r="AJ55" s="108">
        <v>7</v>
      </c>
      <c r="AK55" s="108">
        <v>9</v>
      </c>
      <c r="AL55" s="108">
        <v>10</v>
      </c>
      <c r="AM55" s="108">
        <v>10</v>
      </c>
      <c r="AN55" s="108">
        <v>9</v>
      </c>
      <c r="AO55" s="108" t="s">
        <v>246</v>
      </c>
      <c r="AP55" s="108" t="s">
        <v>246</v>
      </c>
      <c r="AQ55" s="108">
        <v>7</v>
      </c>
      <c r="AR55" s="108">
        <v>7</v>
      </c>
      <c r="AS55" s="112"/>
      <c r="AT55" s="141"/>
      <c r="AU55" s="109"/>
      <c r="AV55" s="100"/>
      <c r="AW55" s="104">
        <v>53</v>
      </c>
      <c r="AX55" s="132">
        <v>5</v>
      </c>
      <c r="AY55" s="132">
        <v>5</v>
      </c>
      <c r="AZ55" s="132">
        <v>5</v>
      </c>
      <c r="BA55" s="108"/>
      <c r="BB55" s="108">
        <v>5</v>
      </c>
      <c r="BC55" s="108">
        <v>5</v>
      </c>
      <c r="BD55" s="108">
        <v>5</v>
      </c>
      <c r="BE55" s="108">
        <v>6</v>
      </c>
      <c r="BF55" s="108">
        <v>6</v>
      </c>
      <c r="BG55" s="108">
        <v>6</v>
      </c>
      <c r="BH55" s="108">
        <v>5</v>
      </c>
      <c r="BI55" s="108">
        <v>5</v>
      </c>
      <c r="BJ55" s="108">
        <v>6</v>
      </c>
      <c r="BK55" s="108">
        <v>6</v>
      </c>
      <c r="BL55" s="108">
        <v>5</v>
      </c>
      <c r="BM55" s="108" t="s">
        <v>246</v>
      </c>
      <c r="BN55" s="108" t="s">
        <v>246</v>
      </c>
      <c r="BO55" s="108">
        <v>5</v>
      </c>
      <c r="BP55" s="108">
        <v>5</v>
      </c>
      <c r="BQ55" s="113"/>
      <c r="BR55" s="145"/>
      <c r="BS55" s="114"/>
    </row>
    <row r="56" spans="1:71" x14ac:dyDescent="0.25">
      <c r="A56" s="104">
        <v>54</v>
      </c>
      <c r="B56" s="130">
        <v>9</v>
      </c>
      <c r="C56" s="130">
        <v>9</v>
      </c>
      <c r="D56" s="130">
        <v>9</v>
      </c>
      <c r="E56" s="107"/>
      <c r="F56" s="108">
        <v>9</v>
      </c>
      <c r="G56" s="108">
        <v>9</v>
      </c>
      <c r="H56" s="108">
        <v>9</v>
      </c>
      <c r="I56" s="108">
        <v>15</v>
      </c>
      <c r="J56" s="107">
        <v>9</v>
      </c>
      <c r="K56" s="108">
        <v>15</v>
      </c>
      <c r="L56" s="108">
        <v>9</v>
      </c>
      <c r="M56" s="108">
        <v>9</v>
      </c>
      <c r="N56" s="108">
        <v>13</v>
      </c>
      <c r="O56" s="108">
        <v>15</v>
      </c>
      <c r="P56" s="108">
        <v>15</v>
      </c>
      <c r="Q56" s="108">
        <v>17</v>
      </c>
      <c r="R56" s="108">
        <v>25</v>
      </c>
      <c r="S56" s="108">
        <v>9</v>
      </c>
      <c r="T56" s="108">
        <v>9</v>
      </c>
      <c r="U56" s="108">
        <v>15</v>
      </c>
      <c r="V56" s="138"/>
      <c r="W56" s="109"/>
      <c r="X56" s="100"/>
      <c r="Y56" s="104">
        <v>54</v>
      </c>
      <c r="Z56" s="130">
        <v>10</v>
      </c>
      <c r="AA56" s="130">
        <v>7</v>
      </c>
      <c r="AB56" s="130">
        <v>7</v>
      </c>
      <c r="AC56" s="108"/>
      <c r="AD56" s="108">
        <v>7</v>
      </c>
      <c r="AE56" s="108">
        <v>7</v>
      </c>
      <c r="AF56" s="108">
        <v>7</v>
      </c>
      <c r="AG56" s="108">
        <v>10</v>
      </c>
      <c r="AH56" s="108">
        <v>10</v>
      </c>
      <c r="AI56" s="108">
        <v>10</v>
      </c>
      <c r="AJ56" s="108">
        <v>7</v>
      </c>
      <c r="AK56" s="108">
        <v>10</v>
      </c>
      <c r="AL56" s="108">
        <v>10</v>
      </c>
      <c r="AM56" s="108">
        <v>10</v>
      </c>
      <c r="AN56" s="108">
        <v>10</v>
      </c>
      <c r="AO56" s="108" t="s">
        <v>246</v>
      </c>
      <c r="AP56" s="108" t="s">
        <v>246</v>
      </c>
      <c r="AQ56" s="108">
        <v>7</v>
      </c>
      <c r="AR56" s="108">
        <v>7</v>
      </c>
      <c r="AS56" s="112"/>
      <c r="AT56" s="141"/>
      <c r="AU56" s="109"/>
      <c r="AV56" s="100"/>
      <c r="AW56" s="104">
        <v>54</v>
      </c>
      <c r="AX56" s="132">
        <v>6</v>
      </c>
      <c r="AY56" s="132">
        <v>6</v>
      </c>
      <c r="AZ56" s="132">
        <v>6</v>
      </c>
      <c r="BA56" s="108"/>
      <c r="BB56" s="108">
        <v>6</v>
      </c>
      <c r="BC56" s="108">
        <v>6</v>
      </c>
      <c r="BD56" s="108">
        <v>5</v>
      </c>
      <c r="BE56" s="108">
        <v>6</v>
      </c>
      <c r="BF56" s="108">
        <v>6</v>
      </c>
      <c r="BG56" s="108">
        <v>6</v>
      </c>
      <c r="BH56" s="108">
        <v>6</v>
      </c>
      <c r="BI56" s="108">
        <v>6</v>
      </c>
      <c r="BJ56" s="108">
        <v>6</v>
      </c>
      <c r="BK56" s="108">
        <v>6</v>
      </c>
      <c r="BL56" s="108">
        <v>6</v>
      </c>
      <c r="BM56" s="108" t="s">
        <v>246</v>
      </c>
      <c r="BN56" s="108" t="s">
        <v>246</v>
      </c>
      <c r="BO56" s="108">
        <v>6</v>
      </c>
      <c r="BP56" s="108">
        <v>6</v>
      </c>
      <c r="BQ56" s="113"/>
      <c r="BR56" s="145"/>
      <c r="BS56" s="114"/>
    </row>
    <row r="57" spans="1:71" x14ac:dyDescent="0.25">
      <c r="A57" s="104">
        <v>55</v>
      </c>
      <c r="B57" s="130">
        <v>9</v>
      </c>
      <c r="C57" s="130">
        <v>9</v>
      </c>
      <c r="D57" s="130">
        <v>9</v>
      </c>
      <c r="E57" s="107"/>
      <c r="F57" s="108">
        <v>9</v>
      </c>
      <c r="G57" s="108">
        <v>9</v>
      </c>
      <c r="H57" s="108">
        <v>9</v>
      </c>
      <c r="I57" s="108">
        <v>15</v>
      </c>
      <c r="J57" s="107">
        <v>11</v>
      </c>
      <c r="K57" s="108">
        <v>15</v>
      </c>
      <c r="L57" s="108">
        <v>9</v>
      </c>
      <c r="M57" s="108">
        <v>9</v>
      </c>
      <c r="N57" s="108">
        <v>13</v>
      </c>
      <c r="O57" s="108">
        <v>15</v>
      </c>
      <c r="P57" s="108">
        <v>15</v>
      </c>
      <c r="Q57" s="108">
        <v>17</v>
      </c>
      <c r="R57" s="108">
        <v>25</v>
      </c>
      <c r="S57" s="108">
        <v>9</v>
      </c>
      <c r="T57" s="108">
        <v>9</v>
      </c>
      <c r="U57" s="108">
        <v>15</v>
      </c>
      <c r="V57" s="138"/>
      <c r="W57" s="109"/>
      <c r="X57" s="100"/>
      <c r="Y57" s="104">
        <v>55</v>
      </c>
      <c r="Z57" s="130">
        <v>10</v>
      </c>
      <c r="AA57" s="130">
        <v>7</v>
      </c>
      <c r="AB57" s="130">
        <v>7</v>
      </c>
      <c r="AC57" s="108"/>
      <c r="AD57" s="108">
        <v>7</v>
      </c>
      <c r="AE57" s="108">
        <v>7</v>
      </c>
      <c r="AF57" s="108">
        <v>7</v>
      </c>
      <c r="AG57" s="108">
        <v>11</v>
      </c>
      <c r="AH57" s="108">
        <v>11</v>
      </c>
      <c r="AI57" s="108">
        <v>11</v>
      </c>
      <c r="AJ57" s="108">
        <v>7</v>
      </c>
      <c r="AK57" s="108">
        <v>10</v>
      </c>
      <c r="AL57" s="108">
        <v>10</v>
      </c>
      <c r="AM57" s="108">
        <v>11</v>
      </c>
      <c r="AN57" s="108">
        <v>10</v>
      </c>
      <c r="AO57" s="108" t="s">
        <v>246</v>
      </c>
      <c r="AP57" s="108" t="s">
        <v>246</v>
      </c>
      <c r="AQ57" s="108">
        <v>7</v>
      </c>
      <c r="AR57" s="108">
        <v>7</v>
      </c>
      <c r="AS57" s="112"/>
      <c r="AT57" s="141"/>
      <c r="AU57" s="109"/>
      <c r="AV57" s="100"/>
      <c r="AW57" s="104">
        <v>55</v>
      </c>
      <c r="AX57" s="132">
        <v>6</v>
      </c>
      <c r="AY57" s="132">
        <v>6</v>
      </c>
      <c r="AZ57" s="132">
        <v>6</v>
      </c>
      <c r="BA57" s="108"/>
      <c r="BB57" s="108">
        <v>6</v>
      </c>
      <c r="BC57" s="108">
        <v>6</v>
      </c>
      <c r="BD57" s="108">
        <v>6</v>
      </c>
      <c r="BE57" s="108">
        <v>6</v>
      </c>
      <c r="BF57" s="108">
        <v>6</v>
      </c>
      <c r="BG57" s="108">
        <v>6</v>
      </c>
      <c r="BH57" s="108">
        <v>6</v>
      </c>
      <c r="BI57" s="108">
        <v>6</v>
      </c>
      <c r="BJ57" s="108">
        <v>6</v>
      </c>
      <c r="BK57" s="108">
        <v>6</v>
      </c>
      <c r="BL57" s="108">
        <v>6</v>
      </c>
      <c r="BM57" s="108" t="s">
        <v>246</v>
      </c>
      <c r="BN57" s="108" t="s">
        <v>246</v>
      </c>
      <c r="BO57" s="108">
        <v>6</v>
      </c>
      <c r="BP57" s="108">
        <v>6</v>
      </c>
      <c r="BQ57" s="113"/>
      <c r="BR57" s="145"/>
      <c r="BS57" s="114"/>
    </row>
    <row r="58" spans="1:71" x14ac:dyDescent="0.25">
      <c r="A58" s="104">
        <v>56</v>
      </c>
      <c r="B58" s="130">
        <v>9</v>
      </c>
      <c r="C58" s="130">
        <v>9</v>
      </c>
      <c r="D58" s="130">
        <v>9</v>
      </c>
      <c r="E58" s="107"/>
      <c r="F58" s="108">
        <v>9</v>
      </c>
      <c r="G58" s="108">
        <v>9</v>
      </c>
      <c r="H58" s="108">
        <v>9</v>
      </c>
      <c r="I58" s="108">
        <v>15</v>
      </c>
      <c r="J58" s="107">
        <v>11</v>
      </c>
      <c r="K58" s="108">
        <v>15</v>
      </c>
      <c r="L58" s="108">
        <v>9</v>
      </c>
      <c r="M58" s="108">
        <v>9</v>
      </c>
      <c r="N58" s="108">
        <v>15</v>
      </c>
      <c r="O58" s="108">
        <v>15</v>
      </c>
      <c r="P58" s="108">
        <v>15</v>
      </c>
      <c r="Q58" s="108">
        <v>17</v>
      </c>
      <c r="R58" s="108">
        <v>25</v>
      </c>
      <c r="S58" s="108">
        <v>9</v>
      </c>
      <c r="T58" s="108">
        <v>9</v>
      </c>
      <c r="U58" s="108">
        <v>15</v>
      </c>
      <c r="V58" s="138"/>
      <c r="W58" s="109"/>
      <c r="X58" s="100"/>
      <c r="Y58" s="104">
        <v>56</v>
      </c>
      <c r="Z58" s="130">
        <v>10</v>
      </c>
      <c r="AA58" s="130">
        <v>7</v>
      </c>
      <c r="AB58" s="130">
        <v>7</v>
      </c>
      <c r="AC58" s="108"/>
      <c r="AD58" s="108">
        <v>7</v>
      </c>
      <c r="AE58" s="108">
        <v>7</v>
      </c>
      <c r="AF58" s="108">
        <v>7</v>
      </c>
      <c r="AG58" s="108">
        <v>11</v>
      </c>
      <c r="AH58" s="108">
        <v>11</v>
      </c>
      <c r="AI58" s="108">
        <v>11</v>
      </c>
      <c r="AJ58" s="108">
        <v>7</v>
      </c>
      <c r="AK58" s="108">
        <v>10</v>
      </c>
      <c r="AL58" s="108">
        <v>11</v>
      </c>
      <c r="AM58" s="108">
        <v>11</v>
      </c>
      <c r="AN58" s="108">
        <v>10</v>
      </c>
      <c r="AO58" s="108" t="s">
        <v>246</v>
      </c>
      <c r="AP58" s="108" t="s">
        <v>246</v>
      </c>
      <c r="AQ58" s="108">
        <v>7</v>
      </c>
      <c r="AR58" s="108">
        <v>7</v>
      </c>
      <c r="AS58" s="112"/>
      <c r="AT58" s="141"/>
      <c r="AU58" s="109"/>
      <c r="AV58" s="100"/>
      <c r="AW58" s="104">
        <v>56</v>
      </c>
      <c r="AX58" s="132">
        <v>6</v>
      </c>
      <c r="AY58" s="132">
        <v>6</v>
      </c>
      <c r="AZ58" s="132">
        <v>6</v>
      </c>
      <c r="BA58" s="108"/>
      <c r="BB58" s="108">
        <v>6</v>
      </c>
      <c r="BC58" s="108">
        <v>6</v>
      </c>
      <c r="BD58" s="108">
        <v>6</v>
      </c>
      <c r="BE58" s="108">
        <v>6</v>
      </c>
      <c r="BF58" s="108">
        <v>6</v>
      </c>
      <c r="BG58" s="108">
        <v>6</v>
      </c>
      <c r="BH58" s="108">
        <v>6</v>
      </c>
      <c r="BI58" s="108">
        <v>6</v>
      </c>
      <c r="BJ58" s="108">
        <v>6</v>
      </c>
      <c r="BK58" s="108">
        <v>6</v>
      </c>
      <c r="BL58" s="108">
        <v>6</v>
      </c>
      <c r="BM58" s="108" t="s">
        <v>246</v>
      </c>
      <c r="BN58" s="108" t="s">
        <v>246</v>
      </c>
      <c r="BO58" s="108">
        <v>6</v>
      </c>
      <c r="BP58" s="108">
        <v>6</v>
      </c>
      <c r="BQ58" s="113"/>
      <c r="BR58" s="145"/>
      <c r="BS58" s="114"/>
    </row>
    <row r="59" spans="1:71" x14ac:dyDescent="0.25">
      <c r="A59" s="104">
        <v>57</v>
      </c>
      <c r="B59" s="130">
        <v>9</v>
      </c>
      <c r="C59" s="130">
        <v>9</v>
      </c>
      <c r="D59" s="130">
        <v>9</v>
      </c>
      <c r="E59" s="107"/>
      <c r="F59" s="108">
        <v>9</v>
      </c>
      <c r="G59" s="108">
        <v>9</v>
      </c>
      <c r="H59" s="108">
        <v>9</v>
      </c>
      <c r="I59" s="108">
        <v>15</v>
      </c>
      <c r="J59" s="107">
        <v>11</v>
      </c>
      <c r="K59" s="108">
        <v>15</v>
      </c>
      <c r="L59" s="108">
        <v>9</v>
      </c>
      <c r="M59" s="108">
        <v>9</v>
      </c>
      <c r="N59" s="108">
        <v>15</v>
      </c>
      <c r="O59" s="108">
        <v>15</v>
      </c>
      <c r="P59" s="108">
        <v>15</v>
      </c>
      <c r="Q59" s="108">
        <v>17</v>
      </c>
      <c r="R59" s="108">
        <v>25</v>
      </c>
      <c r="S59" s="108">
        <v>9</v>
      </c>
      <c r="T59" s="108">
        <v>9</v>
      </c>
      <c r="U59" s="108">
        <v>15</v>
      </c>
      <c r="V59" s="138"/>
      <c r="W59" s="109"/>
      <c r="X59" s="100"/>
      <c r="Y59" s="104">
        <v>57</v>
      </c>
      <c r="Z59" s="130">
        <v>10</v>
      </c>
      <c r="AA59" s="130">
        <v>7</v>
      </c>
      <c r="AB59" s="130">
        <v>7</v>
      </c>
      <c r="AC59" s="108"/>
      <c r="AD59" s="108">
        <v>7</v>
      </c>
      <c r="AE59" s="108">
        <v>7</v>
      </c>
      <c r="AF59" s="108">
        <v>7</v>
      </c>
      <c r="AG59" s="108">
        <v>11</v>
      </c>
      <c r="AH59" s="108">
        <v>11</v>
      </c>
      <c r="AI59" s="108">
        <v>11</v>
      </c>
      <c r="AJ59" s="108">
        <v>7</v>
      </c>
      <c r="AK59" s="108">
        <v>10</v>
      </c>
      <c r="AL59" s="108">
        <v>11</v>
      </c>
      <c r="AM59" s="108">
        <v>11</v>
      </c>
      <c r="AN59" s="108">
        <v>10</v>
      </c>
      <c r="AO59" s="108" t="s">
        <v>246</v>
      </c>
      <c r="AP59" s="108" t="s">
        <v>246</v>
      </c>
      <c r="AQ59" s="108">
        <v>7</v>
      </c>
      <c r="AR59" s="108">
        <v>7</v>
      </c>
      <c r="AS59" s="112"/>
      <c r="AT59" s="141"/>
      <c r="AU59" s="109"/>
      <c r="AV59" s="100"/>
      <c r="AW59" s="104">
        <v>57</v>
      </c>
      <c r="AX59" s="132">
        <v>6</v>
      </c>
      <c r="AY59" s="132">
        <v>6</v>
      </c>
      <c r="AZ59" s="132">
        <v>6</v>
      </c>
      <c r="BA59" s="108"/>
      <c r="BB59" s="108">
        <v>6</v>
      </c>
      <c r="BC59" s="108">
        <v>6</v>
      </c>
      <c r="BD59" s="108">
        <v>6</v>
      </c>
      <c r="BE59" s="108">
        <v>6</v>
      </c>
      <c r="BF59" s="108">
        <v>6</v>
      </c>
      <c r="BG59" s="108">
        <v>6</v>
      </c>
      <c r="BH59" s="108">
        <v>6</v>
      </c>
      <c r="BI59" s="108">
        <v>6</v>
      </c>
      <c r="BJ59" s="108">
        <v>6</v>
      </c>
      <c r="BK59" s="108">
        <v>6</v>
      </c>
      <c r="BL59" s="108">
        <v>6</v>
      </c>
      <c r="BM59" s="108" t="s">
        <v>246</v>
      </c>
      <c r="BN59" s="108" t="s">
        <v>246</v>
      </c>
      <c r="BO59" s="108">
        <v>6</v>
      </c>
      <c r="BP59" s="108">
        <v>6</v>
      </c>
      <c r="BQ59" s="113"/>
      <c r="BR59" s="145"/>
      <c r="BS59" s="114"/>
    </row>
    <row r="60" spans="1:71" x14ac:dyDescent="0.25">
      <c r="A60" s="104">
        <v>58</v>
      </c>
      <c r="B60" s="130">
        <v>9</v>
      </c>
      <c r="C60" s="130">
        <v>9</v>
      </c>
      <c r="D60" s="130">
        <v>9</v>
      </c>
      <c r="E60" s="107"/>
      <c r="F60" s="108">
        <v>9</v>
      </c>
      <c r="G60" s="108">
        <v>9</v>
      </c>
      <c r="H60" s="108">
        <v>9</v>
      </c>
      <c r="I60" s="108">
        <v>15</v>
      </c>
      <c r="J60" s="107">
        <v>11</v>
      </c>
      <c r="K60" s="108">
        <v>15</v>
      </c>
      <c r="L60" s="108">
        <v>9</v>
      </c>
      <c r="M60" s="108">
        <v>9</v>
      </c>
      <c r="N60" s="108">
        <v>15</v>
      </c>
      <c r="O60" s="108">
        <v>15</v>
      </c>
      <c r="P60" s="108">
        <v>15</v>
      </c>
      <c r="Q60" s="108">
        <v>17</v>
      </c>
      <c r="R60" s="108">
        <v>25</v>
      </c>
      <c r="S60" s="108">
        <v>9</v>
      </c>
      <c r="T60" s="108">
        <v>9</v>
      </c>
      <c r="U60" s="108">
        <v>15</v>
      </c>
      <c r="V60" s="138"/>
      <c r="W60" s="109"/>
      <c r="X60" s="100"/>
      <c r="Y60" s="115">
        <v>58</v>
      </c>
      <c r="Z60" s="134">
        <v>10</v>
      </c>
      <c r="AA60" s="134">
        <v>7</v>
      </c>
      <c r="AB60" s="134">
        <v>7</v>
      </c>
      <c r="AC60" s="116"/>
      <c r="AD60" s="116">
        <v>7</v>
      </c>
      <c r="AE60" s="116">
        <v>7</v>
      </c>
      <c r="AF60" s="116">
        <v>7</v>
      </c>
      <c r="AG60" s="116">
        <v>11</v>
      </c>
      <c r="AH60" s="116">
        <v>11</v>
      </c>
      <c r="AI60" s="116">
        <v>11</v>
      </c>
      <c r="AJ60" s="116">
        <v>7</v>
      </c>
      <c r="AK60" s="116">
        <v>10</v>
      </c>
      <c r="AL60" s="116">
        <v>11</v>
      </c>
      <c r="AM60" s="116">
        <v>11</v>
      </c>
      <c r="AN60" s="116">
        <v>10</v>
      </c>
      <c r="AO60" s="108" t="s">
        <v>246</v>
      </c>
      <c r="AP60" s="108" t="s">
        <v>246</v>
      </c>
      <c r="AQ60" s="116">
        <v>7</v>
      </c>
      <c r="AR60" s="116">
        <v>7</v>
      </c>
      <c r="AS60" s="117"/>
      <c r="AT60" s="142"/>
      <c r="AU60" s="118"/>
      <c r="AV60" s="100"/>
      <c r="AW60" s="104">
        <v>58</v>
      </c>
      <c r="AX60" s="132">
        <v>6</v>
      </c>
      <c r="AY60" s="132">
        <v>6</v>
      </c>
      <c r="AZ60" s="132">
        <v>6</v>
      </c>
      <c r="BA60" s="108"/>
      <c r="BB60" s="108">
        <v>6</v>
      </c>
      <c r="BC60" s="108">
        <v>6</v>
      </c>
      <c r="BD60" s="108">
        <v>6</v>
      </c>
      <c r="BE60" s="108">
        <v>6</v>
      </c>
      <c r="BF60" s="108">
        <v>6</v>
      </c>
      <c r="BG60" s="108">
        <v>6</v>
      </c>
      <c r="BH60" s="108">
        <v>6</v>
      </c>
      <c r="BI60" s="108">
        <v>6</v>
      </c>
      <c r="BJ60" s="108">
        <v>6</v>
      </c>
      <c r="BK60" s="108">
        <v>6</v>
      </c>
      <c r="BL60" s="108">
        <v>6</v>
      </c>
      <c r="BM60" s="108" t="s">
        <v>246</v>
      </c>
      <c r="BN60" s="108" t="s">
        <v>246</v>
      </c>
      <c r="BO60" s="108">
        <v>6</v>
      </c>
      <c r="BP60" s="108">
        <v>6</v>
      </c>
      <c r="BQ60" s="113"/>
      <c r="BR60" s="145"/>
      <c r="BS60" s="114"/>
    </row>
    <row r="61" spans="1:71" x14ac:dyDescent="0.25">
      <c r="A61" s="104">
        <v>59</v>
      </c>
      <c r="B61" s="130">
        <v>9</v>
      </c>
      <c r="C61" s="130">
        <v>9</v>
      </c>
      <c r="D61" s="130">
        <v>9</v>
      </c>
      <c r="E61" s="107"/>
      <c r="F61" s="108">
        <v>9</v>
      </c>
      <c r="G61" s="108">
        <v>11</v>
      </c>
      <c r="H61" s="108">
        <v>9</v>
      </c>
      <c r="I61" s="108">
        <v>15</v>
      </c>
      <c r="J61" s="107">
        <v>11</v>
      </c>
      <c r="K61" s="108">
        <v>15</v>
      </c>
      <c r="L61" s="108">
        <v>9</v>
      </c>
      <c r="M61" s="108">
        <v>9</v>
      </c>
      <c r="N61" s="108">
        <v>15</v>
      </c>
      <c r="O61" s="108">
        <v>15</v>
      </c>
      <c r="P61" s="108">
        <v>15</v>
      </c>
      <c r="Q61" s="108">
        <v>17</v>
      </c>
      <c r="R61" s="108">
        <v>29</v>
      </c>
      <c r="S61" s="108">
        <v>9</v>
      </c>
      <c r="T61" s="108">
        <v>9</v>
      </c>
      <c r="U61" s="108">
        <v>15</v>
      </c>
      <c r="V61" s="138"/>
      <c r="W61" s="109"/>
      <c r="X61" s="100"/>
      <c r="Y61" s="104">
        <v>59</v>
      </c>
      <c r="Z61" s="130">
        <v>10</v>
      </c>
      <c r="AA61" s="130">
        <v>7</v>
      </c>
      <c r="AB61" s="130">
        <v>7</v>
      </c>
      <c r="AC61" s="108"/>
      <c r="AD61" s="108">
        <v>7</v>
      </c>
      <c r="AE61" s="108">
        <v>7</v>
      </c>
      <c r="AF61" s="108">
        <v>7</v>
      </c>
      <c r="AG61" s="108">
        <v>11</v>
      </c>
      <c r="AH61" s="108">
        <v>11</v>
      </c>
      <c r="AI61" s="108">
        <v>11</v>
      </c>
      <c r="AJ61" s="108">
        <v>7</v>
      </c>
      <c r="AK61" s="108">
        <v>10</v>
      </c>
      <c r="AL61" s="108">
        <v>11</v>
      </c>
      <c r="AM61" s="108">
        <v>11</v>
      </c>
      <c r="AN61" s="108">
        <v>10</v>
      </c>
      <c r="AO61" s="108" t="s">
        <v>246</v>
      </c>
      <c r="AP61" s="108" t="s">
        <v>246</v>
      </c>
      <c r="AQ61" s="108">
        <v>7</v>
      </c>
      <c r="AR61" s="108">
        <v>7</v>
      </c>
      <c r="AS61" s="112"/>
      <c r="AT61" s="141"/>
      <c r="AU61" s="109"/>
      <c r="AV61" s="100"/>
      <c r="AW61" s="104">
        <v>59</v>
      </c>
      <c r="AX61" s="132">
        <v>6</v>
      </c>
      <c r="AY61" s="132">
        <v>6</v>
      </c>
      <c r="AZ61" s="132">
        <v>6</v>
      </c>
      <c r="BA61" s="108"/>
      <c r="BB61" s="108">
        <v>6</v>
      </c>
      <c r="BC61" s="108">
        <v>6</v>
      </c>
      <c r="BD61" s="108">
        <v>6</v>
      </c>
      <c r="BE61" s="108">
        <v>6</v>
      </c>
      <c r="BF61" s="108">
        <v>6</v>
      </c>
      <c r="BG61" s="108">
        <v>6</v>
      </c>
      <c r="BH61" s="108">
        <v>6</v>
      </c>
      <c r="BI61" s="108">
        <v>6</v>
      </c>
      <c r="BJ61" s="108">
        <v>6</v>
      </c>
      <c r="BK61" s="108">
        <v>6</v>
      </c>
      <c r="BL61" s="108">
        <v>6</v>
      </c>
      <c r="BM61" s="108" t="s">
        <v>246</v>
      </c>
      <c r="BN61" s="108" t="s">
        <v>246</v>
      </c>
      <c r="BO61" s="108">
        <v>6</v>
      </c>
      <c r="BP61" s="108">
        <v>6</v>
      </c>
      <c r="BQ61" s="113"/>
      <c r="BR61" s="145"/>
      <c r="BS61" s="114"/>
    </row>
    <row r="62" spans="1:71" ht="15.75" thickBot="1" x14ac:dyDescent="0.3">
      <c r="A62" s="119">
        <v>60</v>
      </c>
      <c r="B62" s="131">
        <v>9</v>
      </c>
      <c r="C62" s="131">
        <v>9</v>
      </c>
      <c r="D62" s="131">
        <v>11</v>
      </c>
      <c r="E62" s="120"/>
      <c r="F62" s="121">
        <v>11</v>
      </c>
      <c r="G62" s="121"/>
      <c r="H62" s="121">
        <v>11</v>
      </c>
      <c r="I62" s="121">
        <v>15</v>
      </c>
      <c r="J62" s="120">
        <v>11</v>
      </c>
      <c r="K62" s="121">
        <v>15</v>
      </c>
      <c r="L62" s="121">
        <v>11</v>
      </c>
      <c r="M62" s="121">
        <v>11</v>
      </c>
      <c r="N62" s="121">
        <v>15</v>
      </c>
      <c r="O62" s="121">
        <v>15</v>
      </c>
      <c r="P62" s="121">
        <v>15</v>
      </c>
      <c r="Q62" s="121">
        <v>19</v>
      </c>
      <c r="R62" s="121"/>
      <c r="S62" s="121">
        <v>11</v>
      </c>
      <c r="T62" s="121">
        <v>11</v>
      </c>
      <c r="U62" s="121">
        <v>15</v>
      </c>
      <c r="V62" s="139"/>
      <c r="W62" s="122"/>
      <c r="X62" s="123"/>
      <c r="Y62" s="119">
        <v>60</v>
      </c>
      <c r="Z62" s="131">
        <v>11</v>
      </c>
      <c r="AA62" s="131">
        <v>8</v>
      </c>
      <c r="AB62" s="131">
        <v>8</v>
      </c>
      <c r="AC62" s="121"/>
      <c r="AD62" s="121">
        <v>8</v>
      </c>
      <c r="AE62" s="121">
        <v>8</v>
      </c>
      <c r="AF62" s="121">
        <v>8</v>
      </c>
      <c r="AG62" s="121">
        <v>11</v>
      </c>
      <c r="AH62" s="121">
        <v>11</v>
      </c>
      <c r="AI62" s="121">
        <v>11</v>
      </c>
      <c r="AJ62" s="121">
        <v>8</v>
      </c>
      <c r="AK62" s="121">
        <v>11</v>
      </c>
      <c r="AL62" s="121">
        <v>11</v>
      </c>
      <c r="AM62" s="121">
        <v>11</v>
      </c>
      <c r="AN62" s="121">
        <v>11</v>
      </c>
      <c r="AO62" s="108" t="s">
        <v>246</v>
      </c>
      <c r="AP62" s="108" t="s">
        <v>246</v>
      </c>
      <c r="AQ62" s="108">
        <v>8</v>
      </c>
      <c r="AR62" s="108">
        <v>8</v>
      </c>
      <c r="AS62" s="124"/>
      <c r="AT62" s="143"/>
      <c r="AU62" s="122"/>
      <c r="AV62" s="123"/>
      <c r="AW62" s="119">
        <v>60</v>
      </c>
      <c r="AX62" s="133">
        <v>6</v>
      </c>
      <c r="AY62" s="133">
        <v>6</v>
      </c>
      <c r="AZ62" s="133">
        <v>6</v>
      </c>
      <c r="BA62" s="121"/>
      <c r="BB62" s="121">
        <v>6</v>
      </c>
      <c r="BC62" s="121">
        <v>6</v>
      </c>
      <c r="BD62" s="121">
        <v>6</v>
      </c>
      <c r="BE62" s="121">
        <v>6</v>
      </c>
      <c r="BF62" s="121">
        <v>6</v>
      </c>
      <c r="BG62" s="121">
        <v>6</v>
      </c>
      <c r="BH62" s="121">
        <v>6</v>
      </c>
      <c r="BI62" s="121">
        <v>6</v>
      </c>
      <c r="BJ62" s="121">
        <v>6</v>
      </c>
      <c r="BK62" s="121">
        <v>6</v>
      </c>
      <c r="BL62" s="121">
        <v>6</v>
      </c>
      <c r="BM62" s="108" t="s">
        <v>246</v>
      </c>
      <c r="BN62" s="108" t="s">
        <v>246</v>
      </c>
      <c r="BO62" s="108">
        <v>6</v>
      </c>
      <c r="BP62" s="108">
        <v>6</v>
      </c>
      <c r="BQ62" s="125"/>
      <c r="BR62" s="146"/>
      <c r="BS62" s="126"/>
    </row>
    <row r="64" spans="1:71" x14ac:dyDescent="0.25">
      <c r="AK64" s="135"/>
      <c r="AL64" s="135"/>
    </row>
    <row r="65" spans="37:38" x14ac:dyDescent="0.25">
      <c r="AK65" s="135"/>
      <c r="AL65" s="135"/>
    </row>
    <row r="66" spans="37:38" x14ac:dyDescent="0.25">
      <c r="AK66" s="135"/>
      <c r="AL66" s="135"/>
    </row>
    <row r="67" spans="37:38" x14ac:dyDescent="0.25">
      <c r="AK67" s="135"/>
      <c r="AL67" s="135"/>
    </row>
    <row r="68" spans="37:38" x14ac:dyDescent="0.25">
      <c r="AK68" s="135"/>
      <c r="AL68" s="135"/>
    </row>
    <row r="69" spans="37:38" x14ac:dyDescent="0.25">
      <c r="AK69" s="135"/>
      <c r="AL69" s="135"/>
    </row>
    <row r="70" spans="37:38" x14ac:dyDescent="0.25">
      <c r="AK70" s="135"/>
      <c r="AL70" s="135"/>
    </row>
    <row r="71" spans="37:38" x14ac:dyDescent="0.25">
      <c r="AK71" s="135"/>
      <c r="AL71" s="135"/>
    </row>
    <row r="72" spans="37:38" x14ac:dyDescent="0.25">
      <c r="AK72" s="135"/>
      <c r="AL72" s="135"/>
    </row>
    <row r="73" spans="37:38" x14ac:dyDescent="0.25">
      <c r="AK73" s="135"/>
      <c r="AL73" s="135"/>
    </row>
    <row r="74" spans="37:38" x14ac:dyDescent="0.25">
      <c r="AK74" s="135"/>
      <c r="AL74" s="135"/>
    </row>
    <row r="75" spans="37:38" x14ac:dyDescent="0.25">
      <c r="AK75" s="135"/>
      <c r="AL75" s="135"/>
    </row>
    <row r="76" spans="37:38" x14ac:dyDescent="0.25">
      <c r="AK76" s="135"/>
      <c r="AL76" s="135"/>
    </row>
    <row r="77" spans="37:38" x14ac:dyDescent="0.25">
      <c r="AK77" s="135"/>
      <c r="AL77" s="135"/>
    </row>
    <row r="78" spans="37:38" x14ac:dyDescent="0.25">
      <c r="AK78" s="135"/>
      <c r="AL78" s="135"/>
    </row>
    <row r="79" spans="37:38" x14ac:dyDescent="0.25">
      <c r="AK79" s="135"/>
      <c r="AL79" s="135"/>
    </row>
    <row r="80" spans="37:38" x14ac:dyDescent="0.25">
      <c r="AK80" s="135"/>
      <c r="AL80" s="135"/>
    </row>
    <row r="81" spans="37:38" x14ac:dyDescent="0.25">
      <c r="AK81" s="135"/>
      <c r="AL81" s="135"/>
    </row>
    <row r="82" spans="37:38" x14ac:dyDescent="0.25">
      <c r="AK82" s="135"/>
      <c r="AL82" s="135"/>
    </row>
    <row r="83" spans="37:38" x14ac:dyDescent="0.25">
      <c r="AK83" s="135"/>
      <c r="AL83" s="135"/>
    </row>
    <row r="84" spans="37:38" x14ac:dyDescent="0.25">
      <c r="AK84" s="135"/>
      <c r="AL84" s="135"/>
    </row>
    <row r="85" spans="37:38" x14ac:dyDescent="0.25">
      <c r="AK85" s="135"/>
      <c r="AL85" s="135"/>
    </row>
    <row r="86" spans="37:38" x14ac:dyDescent="0.25">
      <c r="AK86" s="135"/>
      <c r="AL86" s="135"/>
    </row>
    <row r="87" spans="37:38" x14ac:dyDescent="0.25">
      <c r="AK87" s="135"/>
      <c r="AL87" s="135"/>
    </row>
    <row r="88" spans="37:38" x14ac:dyDescent="0.25">
      <c r="AK88" s="135"/>
      <c r="AL88" s="135"/>
    </row>
    <row r="89" spans="37:38" x14ac:dyDescent="0.25">
      <c r="AK89" s="135"/>
      <c r="AL89" s="135"/>
    </row>
    <row r="90" spans="37:38" x14ac:dyDescent="0.25">
      <c r="AK90" s="135"/>
      <c r="AL90" s="135"/>
    </row>
    <row r="91" spans="37:38" x14ac:dyDescent="0.25">
      <c r="AK91" s="135"/>
      <c r="AL91" s="135"/>
    </row>
    <row r="92" spans="37:38" x14ac:dyDescent="0.25">
      <c r="AK92" s="135"/>
      <c r="AL92" s="135"/>
    </row>
    <row r="93" spans="37:38" x14ac:dyDescent="0.25">
      <c r="AK93" s="135"/>
      <c r="AL93" s="135"/>
    </row>
    <row r="94" spans="37:38" x14ac:dyDescent="0.25">
      <c r="AK94" s="135"/>
      <c r="AL94" s="135"/>
    </row>
    <row r="95" spans="37:38" x14ac:dyDescent="0.25">
      <c r="AK95" s="135"/>
      <c r="AL95" s="135"/>
    </row>
    <row r="96" spans="37:38" x14ac:dyDescent="0.25">
      <c r="AK96" s="135"/>
      <c r="AL96" s="135"/>
    </row>
    <row r="97" spans="37:38" x14ac:dyDescent="0.25">
      <c r="AK97" s="135"/>
      <c r="AL97" s="135"/>
    </row>
    <row r="98" spans="37:38" x14ac:dyDescent="0.25">
      <c r="AK98" s="135"/>
      <c r="AL98" s="135"/>
    </row>
    <row r="99" spans="37:38" x14ac:dyDescent="0.25">
      <c r="AK99" s="135"/>
      <c r="AL99" s="135"/>
    </row>
    <row r="100" spans="37:38" x14ac:dyDescent="0.25">
      <c r="AK100" s="135"/>
      <c r="AL100" s="135"/>
    </row>
    <row r="101" spans="37:38" x14ac:dyDescent="0.25">
      <c r="AK101" s="135"/>
      <c r="AL101" s="135"/>
    </row>
    <row r="102" spans="37:38" x14ac:dyDescent="0.25">
      <c r="AK102" s="135"/>
      <c r="AL102" s="135"/>
    </row>
    <row r="103" spans="37:38" x14ac:dyDescent="0.25">
      <c r="AK103" s="135"/>
      <c r="AL103" s="135"/>
    </row>
    <row r="104" spans="37:38" x14ac:dyDescent="0.25">
      <c r="AK104" s="135"/>
      <c r="AL104" s="135"/>
    </row>
    <row r="105" spans="37:38" x14ac:dyDescent="0.25">
      <c r="AK105" s="135"/>
      <c r="AL105" s="135"/>
    </row>
    <row r="106" spans="37:38" x14ac:dyDescent="0.25">
      <c r="AK106" s="135"/>
      <c r="AL106" s="135"/>
    </row>
    <row r="107" spans="37:38" x14ac:dyDescent="0.25">
      <c r="AK107" s="135"/>
      <c r="AL107" s="135"/>
    </row>
    <row r="108" spans="37:38" x14ac:dyDescent="0.25">
      <c r="AK108" s="135"/>
      <c r="AL108" s="135"/>
    </row>
    <row r="109" spans="37:38" x14ac:dyDescent="0.25">
      <c r="AK109" s="135"/>
      <c r="AL109" s="135"/>
    </row>
    <row r="110" spans="37:38" x14ac:dyDescent="0.25">
      <c r="AK110" s="135"/>
      <c r="AL110" s="135"/>
    </row>
    <row r="111" spans="37:38" x14ac:dyDescent="0.25">
      <c r="AK111" s="135"/>
      <c r="AL111" s="135"/>
    </row>
    <row r="112" spans="37:38" x14ac:dyDescent="0.25">
      <c r="AK112" s="135"/>
      <c r="AL112" s="135"/>
    </row>
    <row r="113" spans="37:38" x14ac:dyDescent="0.25">
      <c r="AK113" s="135"/>
      <c r="AL113" s="135"/>
    </row>
    <row r="114" spans="37:38" x14ac:dyDescent="0.25">
      <c r="AK114" s="135"/>
      <c r="AL114" s="135"/>
    </row>
    <row r="115" spans="37:38" x14ac:dyDescent="0.25">
      <c r="AK115" s="135"/>
      <c r="AL115" s="135"/>
    </row>
    <row r="116" spans="37:38" x14ac:dyDescent="0.25">
      <c r="AK116" s="135"/>
      <c r="AL116" s="135"/>
    </row>
    <row r="117" spans="37:38" x14ac:dyDescent="0.25">
      <c r="AK117" s="135"/>
      <c r="AL117" s="135"/>
    </row>
    <row r="118" spans="37:38" x14ac:dyDescent="0.25">
      <c r="AK118" s="135"/>
      <c r="AL118" s="135"/>
    </row>
    <row r="119" spans="37:38" x14ac:dyDescent="0.25">
      <c r="AK119" s="135"/>
      <c r="AL119" s="135"/>
    </row>
    <row r="120" spans="37:38" x14ac:dyDescent="0.25">
      <c r="AK120" s="135"/>
      <c r="AL120" s="135"/>
    </row>
    <row r="121" spans="37:38" x14ac:dyDescent="0.25">
      <c r="AK121" s="135"/>
      <c r="AL121" s="135"/>
    </row>
    <row r="122" spans="37:38" x14ac:dyDescent="0.25">
      <c r="AK122" s="135"/>
      <c r="AL122" s="135"/>
    </row>
    <row r="123" spans="37:38" x14ac:dyDescent="0.25">
      <c r="AK123" s="135"/>
      <c r="AL123" s="135"/>
    </row>
  </sheetData>
  <mergeCells count="4">
    <mergeCell ref="A1:BS1"/>
    <mergeCell ref="A2:W2"/>
    <mergeCell ref="Y2:AU2"/>
    <mergeCell ref="AW2:B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143</vt:i4>
      </vt:variant>
    </vt:vector>
  </HeadingPairs>
  <TitlesOfParts>
    <vt:vector size="147" baseType="lpstr">
      <vt:lpstr>Parameters</vt:lpstr>
      <vt:lpstr>Belt_Data</vt:lpstr>
      <vt:lpstr>Sprocket_Data</vt:lpstr>
      <vt:lpstr>SPR_CW_RW</vt:lpstr>
      <vt:lpstr>B_100</vt:lpstr>
      <vt:lpstr>B_1000</vt:lpstr>
      <vt:lpstr>B_10000</vt:lpstr>
      <vt:lpstr>B_1100</vt:lpstr>
      <vt:lpstr>B_1200</vt:lpstr>
      <vt:lpstr>B_1400</vt:lpstr>
      <vt:lpstr>B_1500</vt:lpstr>
      <vt:lpstr>B_1600</vt:lpstr>
      <vt:lpstr>B_1650</vt:lpstr>
      <vt:lpstr>B_1700</vt:lpstr>
      <vt:lpstr>B_1800</vt:lpstr>
      <vt:lpstr>B_1900</vt:lpstr>
      <vt:lpstr>B_200</vt:lpstr>
      <vt:lpstr>B_2100</vt:lpstr>
      <vt:lpstr>B_2200</vt:lpstr>
      <vt:lpstr>B_2300</vt:lpstr>
      <vt:lpstr>B_2400</vt:lpstr>
      <vt:lpstr>B_400</vt:lpstr>
      <vt:lpstr>B_4400</vt:lpstr>
      <vt:lpstr>B_4500</vt:lpstr>
      <vt:lpstr>B_550</vt:lpstr>
      <vt:lpstr>B_800</vt:lpstr>
      <vt:lpstr>B_850</vt:lpstr>
      <vt:lpstr>B_880</vt:lpstr>
      <vt:lpstr>B_900</vt:lpstr>
      <vt:lpstr>B_9000</vt:lpstr>
      <vt:lpstr>B_Style</vt:lpstr>
      <vt:lpstr>Belt_100</vt:lpstr>
      <vt:lpstr>Belt_1000</vt:lpstr>
      <vt:lpstr>Belt_10000</vt:lpstr>
      <vt:lpstr>Belt_1100</vt:lpstr>
      <vt:lpstr>Belt_1200</vt:lpstr>
      <vt:lpstr>Belt_1400</vt:lpstr>
      <vt:lpstr>Belt_1500</vt:lpstr>
      <vt:lpstr>Belt_1600</vt:lpstr>
      <vt:lpstr>Belt_1650</vt:lpstr>
      <vt:lpstr>Belt_1700</vt:lpstr>
      <vt:lpstr>Belt_1800</vt:lpstr>
      <vt:lpstr>Belt_1900</vt:lpstr>
      <vt:lpstr>Belt_200</vt:lpstr>
      <vt:lpstr>Belt_2100</vt:lpstr>
      <vt:lpstr>Belt_2200</vt:lpstr>
      <vt:lpstr>Belt_2300</vt:lpstr>
      <vt:lpstr>Belt_2400</vt:lpstr>
      <vt:lpstr>Belt_400</vt:lpstr>
      <vt:lpstr>Belt_4400</vt:lpstr>
      <vt:lpstr>Belt_4500</vt:lpstr>
      <vt:lpstr>Belt_550</vt:lpstr>
      <vt:lpstr>Belt_800</vt:lpstr>
      <vt:lpstr>Belt_850</vt:lpstr>
      <vt:lpstr>Belt_880</vt:lpstr>
      <vt:lpstr>Belt_900</vt:lpstr>
      <vt:lpstr>Belt_9000</vt:lpstr>
      <vt:lpstr>Belt_Color</vt:lpstr>
      <vt:lpstr>Belt_Material</vt:lpstr>
      <vt:lpstr>Belt_Series</vt:lpstr>
      <vt:lpstr>BS_100</vt:lpstr>
      <vt:lpstr>BS_1000</vt:lpstr>
      <vt:lpstr>BS_10000</vt:lpstr>
      <vt:lpstr>BS_1100</vt:lpstr>
      <vt:lpstr>BS_1200</vt:lpstr>
      <vt:lpstr>BS_1400</vt:lpstr>
      <vt:lpstr>BS_1500</vt:lpstr>
      <vt:lpstr>BS_1600</vt:lpstr>
      <vt:lpstr>BS_1650</vt:lpstr>
      <vt:lpstr>BS_1700</vt:lpstr>
      <vt:lpstr>BS_1750</vt:lpstr>
      <vt:lpstr>BS_1800</vt:lpstr>
      <vt:lpstr>BS_1900</vt:lpstr>
      <vt:lpstr>BS_200</vt:lpstr>
      <vt:lpstr>BS_2100</vt:lpstr>
      <vt:lpstr>BS_2200</vt:lpstr>
      <vt:lpstr>BS_2300</vt:lpstr>
      <vt:lpstr>BS_2400</vt:lpstr>
      <vt:lpstr>BS_400</vt:lpstr>
      <vt:lpstr>BS_4400</vt:lpstr>
      <vt:lpstr>BS_4500</vt:lpstr>
      <vt:lpstr>BS_550</vt:lpstr>
      <vt:lpstr>BS_800</vt:lpstr>
      <vt:lpstr>BS_850</vt:lpstr>
      <vt:lpstr>BS_880</vt:lpstr>
      <vt:lpstr>BS_900</vt:lpstr>
      <vt:lpstr>BS_9000</vt:lpstr>
      <vt:lpstr>BStyle_Name</vt:lpstr>
      <vt:lpstr>Min_Width</vt:lpstr>
      <vt:lpstr>Pin_Btm</vt:lpstr>
      <vt:lpstr>Pitch</vt:lpstr>
      <vt:lpstr>Belt_Data!Print_Area</vt:lpstr>
      <vt:lpstr>Belt_Data!Print_Titles</vt:lpstr>
      <vt:lpstr>SP_100</vt:lpstr>
      <vt:lpstr>SP_1000</vt:lpstr>
      <vt:lpstr>SP_10000</vt:lpstr>
      <vt:lpstr>SP_1100</vt:lpstr>
      <vt:lpstr>SP_1200</vt:lpstr>
      <vt:lpstr>SP_1400</vt:lpstr>
      <vt:lpstr>SP_1600</vt:lpstr>
      <vt:lpstr>SP_1650</vt:lpstr>
      <vt:lpstr>SP_1700</vt:lpstr>
      <vt:lpstr>SP_1750</vt:lpstr>
      <vt:lpstr>SP_1800</vt:lpstr>
      <vt:lpstr>SP_1900</vt:lpstr>
      <vt:lpstr>SP_200</vt:lpstr>
      <vt:lpstr>SP_2200</vt:lpstr>
      <vt:lpstr>SP_2300</vt:lpstr>
      <vt:lpstr>SP_2400</vt:lpstr>
      <vt:lpstr>SP_400</vt:lpstr>
      <vt:lpstr>sp_4400</vt:lpstr>
      <vt:lpstr>SP_4500</vt:lpstr>
      <vt:lpstr>SP_550</vt:lpstr>
      <vt:lpstr>SP_800</vt:lpstr>
      <vt:lpstr>SP_850</vt:lpstr>
      <vt:lpstr>SP_888</vt:lpstr>
      <vt:lpstr>SP_900</vt:lpstr>
      <vt:lpstr>SP_9000</vt:lpstr>
      <vt:lpstr>SPR_100</vt:lpstr>
      <vt:lpstr>SPR_1000</vt:lpstr>
      <vt:lpstr>SPR_10000</vt:lpstr>
      <vt:lpstr>SPR_1100</vt:lpstr>
      <vt:lpstr>SPR_1200</vt:lpstr>
      <vt:lpstr>SPR_1400</vt:lpstr>
      <vt:lpstr>SPR_1600</vt:lpstr>
      <vt:lpstr>SPR_1650</vt:lpstr>
      <vt:lpstr>SPR_1700</vt:lpstr>
      <vt:lpstr>SPR_1750</vt:lpstr>
      <vt:lpstr>SPR_1800</vt:lpstr>
      <vt:lpstr>SPR_1900</vt:lpstr>
      <vt:lpstr>SPR_200</vt:lpstr>
      <vt:lpstr>SPR_2200</vt:lpstr>
      <vt:lpstr>SPR_2300</vt:lpstr>
      <vt:lpstr>SPR_2400</vt:lpstr>
      <vt:lpstr>SPR_400</vt:lpstr>
      <vt:lpstr>SPR_4400</vt:lpstr>
      <vt:lpstr>SPR_4500</vt:lpstr>
      <vt:lpstr>SPR_550</vt:lpstr>
      <vt:lpstr>SPR_800</vt:lpstr>
      <vt:lpstr>SPR_850</vt:lpstr>
      <vt:lpstr>SPR_888</vt:lpstr>
      <vt:lpstr>SPR_900</vt:lpstr>
      <vt:lpstr>SPR_9000</vt:lpstr>
      <vt:lpstr>Style</vt:lpstr>
      <vt:lpstr>Style_Name</vt:lpstr>
      <vt:lpstr>Thk</vt:lpstr>
      <vt:lpstr>Width_Incr</vt:lpstr>
    </vt:vector>
  </TitlesOfParts>
  <Company>Multi-Craft Contractors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S. Petty</dc:creator>
  <cp:lastModifiedBy>John S. Petty</cp:lastModifiedBy>
  <dcterms:created xsi:type="dcterms:W3CDTF">2019-06-21T18:04:49Z</dcterms:created>
  <dcterms:modified xsi:type="dcterms:W3CDTF">2019-09-12T17:11:54Z</dcterms:modified>
</cp:coreProperties>
</file>